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y Documents\Job\L1\5G\Coverage Enhancement\RAN1\102\REDCAP\Post meeting\Phase 2\"/>
    </mc:Choice>
  </mc:AlternateContent>
  <bookViews>
    <workbookView xWindow="2595" yWindow="-13965" windowWidth="21600" windowHeight="12570" tabRatio="774" firstSheet="1" activeTab="11"/>
  </bookViews>
  <sheets>
    <sheet name="Link budget (Ref UE)" sheetId="29" r:id="rId1"/>
    <sheet name="Link budget (RedCap)" sheetId="31" r:id="rId2"/>
    <sheet name="PDSCH" sheetId="46" r:id="rId3"/>
    <sheet name="PDCCH USS" sheetId="32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2" i="54" l="1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V26" i="54"/>
  <c r="V53" i="54" s="1"/>
  <c r="V62" i="54" s="1"/>
  <c r="W18" i="54"/>
  <c r="V18" i="54"/>
  <c r="AG44" i="53"/>
  <c r="AG51" i="53" s="1"/>
  <c r="AG65" i="53" s="1"/>
  <c r="AF44" i="53"/>
  <c r="AF51" i="53" s="1"/>
  <c r="AF65" i="53" s="1"/>
  <c r="AE44" i="53"/>
  <c r="AE51" i="53" s="1"/>
  <c r="AE65" i="53" s="1"/>
  <c r="AG42" i="53"/>
  <c r="AF42" i="53"/>
  <c r="AE42" i="53"/>
  <c r="AG40" i="53"/>
  <c r="AF40" i="53"/>
  <c r="AE40" i="53"/>
  <c r="AG30" i="53"/>
  <c r="AF30" i="53"/>
  <c r="AE30" i="53"/>
  <c r="AG26" i="53"/>
  <c r="AF26" i="53"/>
  <c r="AF53" i="53" s="1"/>
  <c r="AF62" i="53" s="1"/>
  <c r="AE26" i="53"/>
  <c r="AE53" i="53" s="1"/>
  <c r="AE62" i="53" s="1"/>
  <c r="AG18" i="53"/>
  <c r="AF18" i="53"/>
  <c r="AE18" i="53"/>
  <c r="AG17" i="53"/>
  <c r="AF17" i="53"/>
  <c r="AE17" i="53"/>
  <c r="AG16" i="53"/>
  <c r="AF16" i="53"/>
  <c r="AE16" i="53"/>
  <c r="AG42" i="52"/>
  <c r="AF42" i="52"/>
  <c r="AE42" i="52"/>
  <c r="AG40" i="52"/>
  <c r="AG44" i="52" s="1"/>
  <c r="AG51" i="52" s="1"/>
  <c r="AF40" i="52"/>
  <c r="AF44" i="52" s="1"/>
  <c r="AF51" i="52" s="1"/>
  <c r="AE40" i="52"/>
  <c r="AE44" i="52" s="1"/>
  <c r="AE51" i="52" s="1"/>
  <c r="AG30" i="52"/>
  <c r="AF30" i="52"/>
  <c r="AE30" i="52"/>
  <c r="AG18" i="52"/>
  <c r="AF18" i="52"/>
  <c r="AE18" i="52"/>
  <c r="AG17" i="52"/>
  <c r="AF17" i="52"/>
  <c r="AE17" i="52"/>
  <c r="AG16" i="52"/>
  <c r="AF16" i="52"/>
  <c r="AE16" i="52"/>
  <c r="AF43" i="51"/>
  <c r="AF50" i="51" s="1"/>
  <c r="AF64" i="51" s="1"/>
  <c r="AE43" i="51"/>
  <c r="AE50" i="51" s="1"/>
  <c r="AE64" i="51" s="1"/>
  <c r="AG41" i="51"/>
  <c r="AG17" i="51" s="1"/>
  <c r="AF41" i="51"/>
  <c r="AE41" i="51"/>
  <c r="AG39" i="51"/>
  <c r="AF39" i="51"/>
  <c r="AE39" i="51"/>
  <c r="AG30" i="51"/>
  <c r="AF30" i="51"/>
  <c r="AE30" i="51"/>
  <c r="AF25" i="51"/>
  <c r="AE25" i="51"/>
  <c r="AG18" i="51"/>
  <c r="AF18" i="51"/>
  <c r="AE18" i="51"/>
  <c r="AF17" i="51"/>
  <c r="AE17" i="51"/>
  <c r="AG16" i="51"/>
  <c r="AF16" i="51"/>
  <c r="AE16" i="51"/>
  <c r="V44" i="50"/>
  <c r="V51" i="50" s="1"/>
  <c r="V65" i="50" s="1"/>
  <c r="W42" i="50"/>
  <c r="W44" i="50" s="1"/>
  <c r="W51" i="50" s="1"/>
  <c r="W65" i="50" s="1"/>
  <c r="V42" i="50"/>
  <c r="W40" i="50"/>
  <c r="V40" i="50"/>
  <c r="W30" i="50"/>
  <c r="V30" i="50"/>
  <c r="W18" i="50"/>
  <c r="W26" i="50" s="1"/>
  <c r="W53" i="50" s="1"/>
  <c r="W62" i="50" s="1"/>
  <c r="V18" i="50"/>
  <c r="V26" i="50" s="1"/>
  <c r="V53" i="50" s="1"/>
  <c r="V62" i="50" s="1"/>
  <c r="S41" i="49"/>
  <c r="R41" i="49"/>
  <c r="R43" i="49" s="1"/>
  <c r="R50" i="49" s="1"/>
  <c r="R64" i="49" s="1"/>
  <c r="S39" i="49"/>
  <c r="S43" i="49" s="1"/>
  <c r="S50" i="49" s="1"/>
  <c r="S64" i="49" s="1"/>
  <c r="R39" i="49"/>
  <c r="S30" i="49"/>
  <c r="R30" i="49"/>
  <c r="S18" i="49"/>
  <c r="S25" i="49" s="1"/>
  <c r="R18" i="49"/>
  <c r="R25" i="49" s="1"/>
  <c r="U41" i="47"/>
  <c r="U43" i="47" s="1"/>
  <c r="U50" i="47" s="1"/>
  <c r="U64" i="47" s="1"/>
  <c r="T41" i="47"/>
  <c r="T43" i="47" s="1"/>
  <c r="T50" i="47" s="1"/>
  <c r="T64" i="47" s="1"/>
  <c r="U39" i="47"/>
  <c r="T39" i="47"/>
  <c r="U30" i="47"/>
  <c r="T30" i="47"/>
  <c r="U18" i="47"/>
  <c r="U25" i="47" s="1"/>
  <c r="U52" i="47" s="1"/>
  <c r="U61" i="47" s="1"/>
  <c r="T18" i="47"/>
  <c r="T25" i="47" s="1"/>
  <c r="T52" i="47" s="1"/>
  <c r="T61" i="47" s="1"/>
  <c r="AJ44" i="46"/>
  <c r="AJ51" i="46" s="1"/>
  <c r="AJ65" i="46" s="1"/>
  <c r="AI44" i="46"/>
  <c r="AI51" i="46" s="1"/>
  <c r="AI65" i="46" s="1"/>
  <c r="AK42" i="46"/>
  <c r="AK17" i="46" s="1"/>
  <c r="AJ42" i="46"/>
  <c r="AI42" i="46"/>
  <c r="AK40" i="46"/>
  <c r="AJ40" i="46"/>
  <c r="AI40" i="46"/>
  <c r="AK30" i="46"/>
  <c r="AJ30" i="46"/>
  <c r="AI30" i="46"/>
  <c r="AJ26" i="46"/>
  <c r="AJ53" i="46" s="1"/>
  <c r="AJ62" i="46" s="1"/>
  <c r="AI26" i="46"/>
  <c r="AK18" i="46"/>
  <c r="AJ18" i="46"/>
  <c r="AI18" i="46"/>
  <c r="AJ17" i="46"/>
  <c r="AI17" i="46"/>
  <c r="AK16" i="46"/>
  <c r="AJ16" i="46"/>
  <c r="AI16" i="46"/>
  <c r="AK41" i="32"/>
  <c r="AJ41" i="32"/>
  <c r="AJ17" i="32" s="1"/>
  <c r="AI41" i="32"/>
  <c r="AK39" i="32"/>
  <c r="AK43" i="32" s="1"/>
  <c r="AK50" i="32" s="1"/>
  <c r="AJ39" i="32"/>
  <c r="AJ43" i="32" s="1"/>
  <c r="AJ50" i="32" s="1"/>
  <c r="AI39" i="32"/>
  <c r="AI43" i="32" s="1"/>
  <c r="AI50" i="32" s="1"/>
  <c r="AK30" i="32"/>
  <c r="AJ30" i="32"/>
  <c r="AI30" i="32"/>
  <c r="AK18" i="32"/>
  <c r="AJ18" i="32"/>
  <c r="AI18" i="32"/>
  <c r="AK17" i="32"/>
  <c r="AK64" i="32" s="1"/>
  <c r="AI17" i="32"/>
  <c r="AI64" i="32" s="1"/>
  <c r="AK16" i="32"/>
  <c r="AJ16" i="32"/>
  <c r="AI16" i="32"/>
  <c r="AG53" i="53" l="1"/>
  <c r="AG62" i="53" s="1"/>
  <c r="AE65" i="52"/>
  <c r="AF65" i="52"/>
  <c r="AG65" i="52"/>
  <c r="AE26" i="52"/>
  <c r="AE53" i="52" s="1"/>
  <c r="AE62" i="52" s="1"/>
  <c r="AF26" i="52"/>
  <c r="AF53" i="52" s="1"/>
  <c r="AF62" i="52" s="1"/>
  <c r="AG26" i="52"/>
  <c r="AG53" i="52" s="1"/>
  <c r="AG62" i="52" s="1"/>
  <c r="AE52" i="51"/>
  <c r="AE61" i="51" s="1"/>
  <c r="AG25" i="51"/>
  <c r="AF52" i="51"/>
  <c r="AF61" i="51" s="1"/>
  <c r="AG43" i="51"/>
  <c r="AG50" i="51" s="1"/>
  <c r="AG64" i="51" s="1"/>
  <c r="R52" i="49"/>
  <c r="R61" i="49" s="1"/>
  <c r="S52" i="49"/>
  <c r="S61" i="49" s="1"/>
  <c r="AK65" i="46"/>
  <c r="AK26" i="46"/>
  <c r="AI53" i="46"/>
  <c r="AI62" i="46" s="1"/>
  <c r="AK44" i="46"/>
  <c r="AK51" i="46" s="1"/>
  <c r="AJ64" i="32"/>
  <c r="AJ25" i="32"/>
  <c r="AJ52" i="32" s="1"/>
  <c r="AJ61" i="32" s="1"/>
  <c r="AI25" i="32"/>
  <c r="AI52" i="32" s="1"/>
  <c r="AI61" i="32" s="1"/>
  <c r="AK25" i="32"/>
  <c r="AK52" i="32" s="1"/>
  <c r="AK61" i="32" s="1"/>
  <c r="AF42" i="46"/>
  <c r="AH42" i="46"/>
  <c r="AG42" i="46"/>
  <c r="AG52" i="51" l="1"/>
  <c r="AG61" i="51" s="1"/>
  <c r="AK53" i="46"/>
  <c r="AK62" i="46" s="1"/>
  <c r="AG44" i="46"/>
  <c r="AG51" i="46" s="1"/>
  <c r="AF44" i="46"/>
  <c r="AF51" i="46" s="1"/>
  <c r="AH44" i="46"/>
  <c r="AH51" i="46" s="1"/>
  <c r="AH40" i="46"/>
  <c r="AG40" i="46"/>
  <c r="AF40" i="46"/>
  <c r="AH30" i="46"/>
  <c r="AG30" i="46"/>
  <c r="AF30" i="46"/>
  <c r="AH18" i="46"/>
  <c r="AG18" i="46"/>
  <c r="AF18" i="46"/>
  <c r="AG17" i="46"/>
  <c r="AF17" i="46"/>
  <c r="AH16" i="46"/>
  <c r="AG16" i="46"/>
  <c r="AF16" i="46"/>
  <c r="AF65" i="46" l="1"/>
  <c r="AF26" i="46"/>
  <c r="AG65" i="46"/>
  <c r="AF53" i="46"/>
  <c r="AF62" i="46" s="1"/>
  <c r="AH17" i="46"/>
  <c r="AG26" i="46"/>
  <c r="AG53" i="46" s="1"/>
  <c r="AG62" i="46" s="1"/>
  <c r="AH65" i="46" l="1"/>
  <c r="AH26" i="46"/>
  <c r="AH53" i="46" s="1"/>
  <c r="AH62" i="46" s="1"/>
  <c r="AH41" i="32" l="1"/>
  <c r="AH17" i="32" s="1"/>
  <c r="AG41" i="32"/>
  <c r="AF41" i="32"/>
  <c r="AH39" i="32"/>
  <c r="AH43" i="32" s="1"/>
  <c r="AH50" i="32" s="1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F25" i="32" s="1"/>
  <c r="AG17" i="32"/>
  <c r="AF17" i="32"/>
  <c r="AH16" i="32"/>
  <c r="AG16" i="32"/>
  <c r="AF16" i="32"/>
  <c r="AG64" i="32" l="1"/>
  <c r="AF64" i="32"/>
  <c r="AF52" i="32"/>
  <c r="AF61" i="32" s="1"/>
  <c r="AH64" i="32"/>
  <c r="AH25" i="32"/>
  <c r="AH52" i="32" s="1"/>
  <c r="AH61" i="32" s="1"/>
  <c r="AG25" i="32"/>
  <c r="AG52" i="32" s="1"/>
  <c r="AG61" i="32" s="1"/>
  <c r="G41" i="57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G52" i="57" s="1"/>
  <c r="G61" i="57" s="1"/>
  <c r="F18" i="57"/>
  <c r="F25" i="57" s="1"/>
  <c r="F42" i="56"/>
  <c r="E42" i="56"/>
  <c r="E17" i="56" s="1"/>
  <c r="F40" i="56"/>
  <c r="F44" i="56" s="1"/>
  <c r="F51" i="56" s="1"/>
  <c r="E40" i="56"/>
  <c r="E44" i="56" s="1"/>
  <c r="E51" i="56" s="1"/>
  <c r="F30" i="56"/>
  <c r="E30" i="56"/>
  <c r="F18" i="56"/>
  <c r="E18" i="56"/>
  <c r="F17" i="56"/>
  <c r="F16" i="56"/>
  <c r="E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U18" i="54"/>
  <c r="U26" i="54" s="1"/>
  <c r="T18" i="54"/>
  <c r="T26" i="54" s="1"/>
  <c r="AC42" i="53"/>
  <c r="AB42" i="53"/>
  <c r="AB17" i="53" s="1"/>
  <c r="AC40" i="53"/>
  <c r="AC44" i="53" s="1"/>
  <c r="AC51" i="53" s="1"/>
  <c r="AB40" i="53"/>
  <c r="AB44" i="53" s="1"/>
  <c r="AB51" i="53" s="1"/>
  <c r="AC30" i="53"/>
  <c r="AB30" i="53"/>
  <c r="AC18" i="53"/>
  <c r="AB18" i="53"/>
  <c r="AC17" i="53"/>
  <c r="AC16" i="53"/>
  <c r="AB16" i="53"/>
  <c r="AC42" i="52"/>
  <c r="AB42" i="52"/>
  <c r="AC40" i="52"/>
  <c r="AC44" i="52" s="1"/>
  <c r="AC51" i="52" s="1"/>
  <c r="AB40" i="52"/>
  <c r="AB44" i="52" s="1"/>
  <c r="AB51" i="52" s="1"/>
  <c r="AC30" i="52"/>
  <c r="AB30" i="52"/>
  <c r="AC18" i="52"/>
  <c r="AB18" i="52"/>
  <c r="AC17" i="52"/>
  <c r="AB17" i="52"/>
  <c r="AC16" i="52"/>
  <c r="AB16" i="52"/>
  <c r="AC41" i="51"/>
  <c r="AB41" i="51"/>
  <c r="AC39" i="51"/>
  <c r="AC43" i="51" s="1"/>
  <c r="AC50" i="51" s="1"/>
  <c r="AB39" i="51"/>
  <c r="AB43" i="51" s="1"/>
  <c r="AB50" i="51" s="1"/>
  <c r="AC30" i="51"/>
  <c r="AB30" i="51"/>
  <c r="AC18" i="51"/>
  <c r="AB18" i="51"/>
  <c r="AC17" i="51"/>
  <c r="AC64" i="51" s="1"/>
  <c r="AB17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U26" i="50"/>
  <c r="U53" i="50" s="1"/>
  <c r="U62" i="50" s="1"/>
  <c r="T26" i="50"/>
  <c r="T53" i="50" s="1"/>
  <c r="T62" i="50" s="1"/>
  <c r="U18" i="50"/>
  <c r="T18" i="50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25" i="49"/>
  <c r="P25" i="49"/>
  <c r="Q18" i="49"/>
  <c r="P18" i="49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Q52" i="48" s="1"/>
  <c r="Q61" i="48" s="1"/>
  <c r="P18" i="48"/>
  <c r="P25" i="48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AD42" i="46"/>
  <c r="AC42" i="46"/>
  <c r="AC17" i="46" s="1"/>
  <c r="AD40" i="46"/>
  <c r="AD44" i="46" s="1"/>
  <c r="AD51" i="46" s="1"/>
  <c r="AC40" i="46"/>
  <c r="AC44" i="46" s="1"/>
  <c r="AC51" i="46" s="1"/>
  <c r="AD30" i="46"/>
  <c r="AC30" i="46"/>
  <c r="AD18" i="46"/>
  <c r="AC18" i="46"/>
  <c r="AD17" i="46"/>
  <c r="AD65" i="46" s="1"/>
  <c r="AD16" i="46"/>
  <c r="AC16" i="46"/>
  <c r="AD41" i="32"/>
  <c r="AD17" i="32" s="1"/>
  <c r="AC41" i="32"/>
  <c r="AC17" i="32" s="1"/>
  <c r="AD39" i="32"/>
  <c r="AD43" i="32" s="1"/>
  <c r="AD50" i="32" s="1"/>
  <c r="AC39" i="32"/>
  <c r="AC43" i="32" s="1"/>
  <c r="AC50" i="32" s="1"/>
  <c r="AD30" i="32"/>
  <c r="AC30" i="32"/>
  <c r="AD18" i="32"/>
  <c r="AC18" i="32"/>
  <c r="AD16" i="32"/>
  <c r="AC16" i="32"/>
  <c r="T53" i="54" l="1"/>
  <c r="T62" i="54" s="1"/>
  <c r="AB64" i="51"/>
  <c r="R52" i="47"/>
  <c r="R61" i="47" s="1"/>
  <c r="P52" i="48"/>
  <c r="P61" i="48" s="1"/>
  <c r="U53" i="54"/>
  <c r="U62" i="54" s="1"/>
  <c r="F52" i="57"/>
  <c r="F61" i="57" s="1"/>
  <c r="E65" i="56"/>
  <c r="E26" i="56"/>
  <c r="E53" i="56" s="1"/>
  <c r="E62" i="56" s="1"/>
  <c r="F65" i="56"/>
  <c r="F26" i="56"/>
  <c r="F53" i="56" s="1"/>
  <c r="F62" i="56" s="1"/>
  <c r="AB65" i="53"/>
  <c r="AB26" i="53"/>
  <c r="AB53" i="53" s="1"/>
  <c r="AB62" i="53" s="1"/>
  <c r="AC65" i="53"/>
  <c r="AC26" i="53"/>
  <c r="AC53" i="53" s="1"/>
  <c r="AC62" i="53" s="1"/>
  <c r="AB65" i="52"/>
  <c r="AC65" i="52"/>
  <c r="AB26" i="52"/>
  <c r="AB53" i="52" s="1"/>
  <c r="AB62" i="52" s="1"/>
  <c r="AC26" i="52"/>
  <c r="AC53" i="52" s="1"/>
  <c r="AC62" i="52" s="1"/>
  <c r="AC25" i="51"/>
  <c r="AC52" i="51" s="1"/>
  <c r="AC61" i="51" s="1"/>
  <c r="AB25" i="51"/>
  <c r="AB52" i="51" s="1"/>
  <c r="AB61" i="51" s="1"/>
  <c r="Q52" i="49"/>
  <c r="Q61" i="49" s="1"/>
  <c r="P52" i="49"/>
  <c r="P61" i="49" s="1"/>
  <c r="S52" i="47"/>
  <c r="S61" i="47" s="1"/>
  <c r="AC65" i="46"/>
  <c r="AC26" i="46"/>
  <c r="AC53" i="46" s="1"/>
  <c r="AC62" i="46" s="1"/>
  <c r="AD26" i="46"/>
  <c r="AD53" i="46" s="1"/>
  <c r="AD62" i="46" s="1"/>
  <c r="AC25" i="32"/>
  <c r="AC52" i="32" s="1"/>
  <c r="AC61" i="32" s="1"/>
  <c r="AC64" i="32"/>
  <c r="AD64" i="32"/>
  <c r="AD25" i="32"/>
  <c r="AD52" i="32" s="1"/>
  <c r="AD61" i="32" s="1"/>
  <c r="S42" i="54" l="1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Y17" i="53"/>
  <c r="AA16" i="53"/>
  <c r="Z16" i="53"/>
  <c r="Y16" i="53"/>
  <c r="AA42" i="52"/>
  <c r="AA17" i="52" s="1"/>
  <c r="Z42" i="52"/>
  <c r="Y42" i="52"/>
  <c r="Y17" i="52" s="1"/>
  <c r="AA40" i="52"/>
  <c r="AA44" i="52" s="1"/>
  <c r="AA51" i="52" s="1"/>
  <c r="Z40" i="52"/>
  <c r="Z44" i="52" s="1"/>
  <c r="Z51" i="52" s="1"/>
  <c r="Y40" i="52"/>
  <c r="AA30" i="52"/>
  <c r="Z30" i="52"/>
  <c r="Y30" i="52"/>
  <c r="AA18" i="52"/>
  <c r="Z18" i="52"/>
  <c r="Y18" i="52"/>
  <c r="Z17" i="52"/>
  <c r="AA16" i="52"/>
  <c r="Z16" i="52"/>
  <c r="Y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R44" i="50"/>
  <c r="R51" i="50" s="1"/>
  <c r="R65" i="50" s="1"/>
  <c r="S42" i="50"/>
  <c r="S44" i="50" s="1"/>
  <c r="S51" i="50" s="1"/>
  <c r="S65" i="50" s="1"/>
  <c r="R42" i="50"/>
  <c r="S40" i="50"/>
  <c r="R40" i="50"/>
  <c r="S30" i="50"/>
  <c r="R30" i="50"/>
  <c r="S18" i="50"/>
  <c r="S26" i="50" s="1"/>
  <c r="R18" i="50"/>
  <c r="R26" i="50" s="1"/>
  <c r="R53" i="50" s="1"/>
  <c r="R62" i="50" s="1"/>
  <c r="O43" i="48"/>
  <c r="O50" i="48" s="1"/>
  <c r="O64" i="48" s="1"/>
  <c r="O41" i="48"/>
  <c r="N41" i="48"/>
  <c r="O39" i="48"/>
  <c r="N39" i="48"/>
  <c r="N43" i="48" s="1"/>
  <c r="N50" i="48" s="1"/>
  <c r="N64" i="48" s="1"/>
  <c r="O30" i="48"/>
  <c r="N30" i="48"/>
  <c r="O18" i="48"/>
  <c r="O25" i="48" s="1"/>
  <c r="O52" i="48" s="1"/>
  <c r="O61" i="48" s="1"/>
  <c r="N18" i="48"/>
  <c r="N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Z42" i="46"/>
  <c r="Z17" i="46" s="1"/>
  <c r="Z26" i="46" s="1"/>
  <c r="AB40" i="46"/>
  <c r="AB44" i="46" s="1"/>
  <c r="AB51" i="46" s="1"/>
  <c r="AA40" i="46"/>
  <c r="AA44" i="46" s="1"/>
  <c r="AA51" i="46" s="1"/>
  <c r="Z40" i="46"/>
  <c r="AB30" i="46"/>
  <c r="AA30" i="46"/>
  <c r="Z30" i="46"/>
  <c r="AB18" i="46"/>
  <c r="AA18" i="46"/>
  <c r="Z18" i="46"/>
  <c r="AA17" i="46"/>
  <c r="AB16" i="46"/>
  <c r="AA16" i="46"/>
  <c r="Z16" i="46"/>
  <c r="AB41" i="32"/>
  <c r="AA41" i="32"/>
  <c r="AA17" i="32" s="1"/>
  <c r="Z41" i="32"/>
  <c r="Z17" i="32" s="1"/>
  <c r="AB39" i="32"/>
  <c r="AB43" i="32" s="1"/>
  <c r="AB50" i="32" s="1"/>
  <c r="AA39" i="32"/>
  <c r="AA43" i="32" s="1"/>
  <c r="AA50" i="32" s="1"/>
  <c r="Z39" i="32"/>
  <c r="AB30" i="32"/>
  <c r="AA30" i="32"/>
  <c r="Z30" i="32"/>
  <c r="AB18" i="32"/>
  <c r="AA18" i="32"/>
  <c r="Z18" i="32"/>
  <c r="AB17" i="32"/>
  <c r="AB16" i="32"/>
  <c r="AA16" i="32"/>
  <c r="Z16" i="32"/>
  <c r="Z65" i="52" l="1"/>
  <c r="S53" i="50"/>
  <c r="S62" i="50" s="1"/>
  <c r="Y65" i="53"/>
  <c r="Z65" i="53"/>
  <c r="P52" i="47"/>
  <c r="P61" i="47" s="1"/>
  <c r="Z43" i="32"/>
  <c r="Z50" i="32" s="1"/>
  <c r="Z64" i="32" s="1"/>
  <c r="Q52" i="47"/>
  <c r="Q61" i="47" s="1"/>
  <c r="Y43" i="51"/>
  <c r="Y50" i="51" s="1"/>
  <c r="Y64" i="51" s="1"/>
  <c r="R53" i="54"/>
  <c r="R62" i="54" s="1"/>
  <c r="AB64" i="32"/>
  <c r="Z44" i="46"/>
  <c r="Z51" i="46" s="1"/>
  <c r="Z65" i="46" s="1"/>
  <c r="N52" i="48"/>
  <c r="N61" i="48" s="1"/>
  <c r="Z43" i="51"/>
  <c r="Z50" i="51" s="1"/>
  <c r="Z64" i="51" s="1"/>
  <c r="Y44" i="52"/>
  <c r="Y51" i="52" s="1"/>
  <c r="Y65" i="52" s="1"/>
  <c r="S53" i="54"/>
  <c r="S62" i="54" s="1"/>
  <c r="AA65" i="53"/>
  <c r="AA26" i="53"/>
  <c r="AA53" i="53" s="1"/>
  <c r="AA62" i="53" s="1"/>
  <c r="Y26" i="53"/>
  <c r="Y53" i="53" s="1"/>
  <c r="Y62" i="53" s="1"/>
  <c r="Z26" i="53"/>
  <c r="Z53" i="53" s="1"/>
  <c r="Z62" i="53" s="1"/>
  <c r="AA65" i="52"/>
  <c r="AA26" i="52"/>
  <c r="AA53" i="52" s="1"/>
  <c r="AA62" i="52" s="1"/>
  <c r="Y26" i="52"/>
  <c r="Y53" i="52" s="1"/>
  <c r="Y62" i="52" s="1"/>
  <c r="Z26" i="52"/>
  <c r="Z53" i="52" s="1"/>
  <c r="Z62" i="52" s="1"/>
  <c r="AA64" i="51"/>
  <c r="AA25" i="51"/>
  <c r="AA52" i="51" s="1"/>
  <c r="AA61" i="51" s="1"/>
  <c r="Y25" i="51"/>
  <c r="Y52" i="51" s="1"/>
  <c r="Y61" i="51" s="1"/>
  <c r="Z25" i="51"/>
  <c r="Z53" i="46"/>
  <c r="Z62" i="46" s="1"/>
  <c r="AA65" i="46"/>
  <c r="AB26" i="46"/>
  <c r="AB53" i="46" s="1"/>
  <c r="AB62" i="46" s="1"/>
  <c r="AB65" i="46"/>
  <c r="AA26" i="46"/>
  <c r="AA53" i="46" s="1"/>
  <c r="AA62" i="46" s="1"/>
  <c r="AA64" i="32"/>
  <c r="Z25" i="32"/>
  <c r="AA25" i="32"/>
  <c r="AA52" i="32" s="1"/>
  <c r="AA61" i="32" s="1"/>
  <c r="AB25" i="32"/>
  <c r="AB52" i="32" s="1"/>
  <c r="AB61" i="32" s="1"/>
  <c r="Z52" i="32" l="1"/>
  <c r="Z61" i="32" s="1"/>
  <c r="Z52" i="51"/>
  <c r="Z61" i="51" s="1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D18" i="57"/>
  <c r="D25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P18" i="54"/>
  <c r="P26" i="54" s="1"/>
  <c r="X42" i="53"/>
  <c r="W42" i="53"/>
  <c r="W17" i="53" s="1"/>
  <c r="V42" i="53"/>
  <c r="X40" i="53"/>
  <c r="X44" i="53" s="1"/>
  <c r="X51" i="53" s="1"/>
  <c r="W40" i="53"/>
  <c r="W44" i="53" s="1"/>
  <c r="W51" i="53" s="1"/>
  <c r="V40" i="53"/>
  <c r="V44" i="53" s="1"/>
  <c r="V51" i="53" s="1"/>
  <c r="X30" i="53"/>
  <c r="W30" i="53"/>
  <c r="V30" i="53"/>
  <c r="X18" i="53"/>
  <c r="W18" i="53"/>
  <c r="V18" i="53"/>
  <c r="X17" i="53"/>
  <c r="X65" i="53" s="1"/>
  <c r="V17" i="53"/>
  <c r="X16" i="53"/>
  <c r="W16" i="53"/>
  <c r="V16" i="53"/>
  <c r="X42" i="52"/>
  <c r="W42" i="52"/>
  <c r="W17" i="52" s="1"/>
  <c r="V42" i="52"/>
  <c r="V17" i="52" s="1"/>
  <c r="X40" i="52"/>
  <c r="X44" i="52" s="1"/>
  <c r="X51" i="52" s="1"/>
  <c r="W40" i="52"/>
  <c r="W44" i="52" s="1"/>
  <c r="W51" i="52" s="1"/>
  <c r="V40" i="52"/>
  <c r="X30" i="52"/>
  <c r="W30" i="52"/>
  <c r="V30" i="52"/>
  <c r="X18" i="52"/>
  <c r="W18" i="52"/>
  <c r="V18" i="52"/>
  <c r="X17" i="52"/>
  <c r="X65" i="52" s="1"/>
  <c r="X16" i="52"/>
  <c r="W16" i="52"/>
  <c r="V16" i="52"/>
  <c r="W43" i="51"/>
  <c r="W50" i="51" s="1"/>
  <c r="X41" i="51"/>
  <c r="X17" i="51" s="1"/>
  <c r="X25" i="51" s="1"/>
  <c r="W41" i="51"/>
  <c r="W17" i="51" s="1"/>
  <c r="V41" i="51"/>
  <c r="V17" i="51" s="1"/>
  <c r="X39" i="51"/>
  <c r="W39" i="51"/>
  <c r="V39" i="51"/>
  <c r="V43" i="51" s="1"/>
  <c r="V50" i="51" s="1"/>
  <c r="X30" i="51"/>
  <c r="W30" i="51"/>
  <c r="V30" i="51"/>
  <c r="X18" i="51"/>
  <c r="W18" i="51"/>
  <c r="V18" i="5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Q53" i="50" s="1"/>
  <c r="Q62" i="50" s="1"/>
  <c r="P18" i="50"/>
  <c r="P26" i="50" s="1"/>
  <c r="P53" i="50" s="1"/>
  <c r="P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O52" i="49" s="1"/>
  <c r="O61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O52" i="47" s="1"/>
  <c r="O61" i="47" s="1"/>
  <c r="N18" i="47"/>
  <c r="N25" i="47" s="1"/>
  <c r="N52" i="47" s="1"/>
  <c r="N61" i="47" s="1"/>
  <c r="Y42" i="46"/>
  <c r="X42" i="46"/>
  <c r="W42" i="46"/>
  <c r="Y40" i="46"/>
  <c r="Y44" i="46" s="1"/>
  <c r="Y51" i="46" s="1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Y17" i="46"/>
  <c r="X17" i="46"/>
  <c r="X65" i="46" s="1"/>
  <c r="W17" i="46"/>
  <c r="W65" i="46" s="1"/>
  <c r="Y16" i="46"/>
  <c r="X16" i="46"/>
  <c r="W16" i="46"/>
  <c r="Y41" i="32"/>
  <c r="X41" i="32"/>
  <c r="X17" i="32" s="1"/>
  <c r="W41" i="32"/>
  <c r="W17" i="32" s="1"/>
  <c r="W25" i="32" s="1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Y18" i="32"/>
  <c r="X18" i="32"/>
  <c r="W18" i="32"/>
  <c r="Y17" i="32"/>
  <c r="Y64" i="32" s="1"/>
  <c r="Y16" i="32"/>
  <c r="X16" i="32"/>
  <c r="W16" i="32"/>
  <c r="X43" i="51" l="1"/>
  <c r="X50" i="51" s="1"/>
  <c r="X64" i="51" s="1"/>
  <c r="D52" i="57"/>
  <c r="D61" i="57" s="1"/>
  <c r="V65" i="53"/>
  <c r="V44" i="52"/>
  <c r="V51" i="52" s="1"/>
  <c r="V65" i="52" s="1"/>
  <c r="E52" i="57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X53" i="52" s="1"/>
  <c r="X62" i="52" s="1"/>
  <c r="V64" i="51"/>
  <c r="V25" i="51"/>
  <c r="V52" i="51" s="1"/>
  <c r="V61" i="51" s="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52" i="32"/>
  <c r="W61" i="32" s="1"/>
  <c r="W64" i="32"/>
  <c r="X64" i="32"/>
  <c r="X25" i="32"/>
  <c r="X52" i="32" s="1"/>
  <c r="X61" i="32" s="1"/>
  <c r="Y25" i="32"/>
  <c r="Y52" i="32" s="1"/>
  <c r="Y61" i="32" s="1"/>
  <c r="X52" i="51" l="1"/>
  <c r="X61" i="51" s="1"/>
  <c r="S16" i="52"/>
  <c r="T16" i="52"/>
  <c r="U16" i="52"/>
  <c r="S17" i="52"/>
  <c r="T17" i="52"/>
  <c r="T26" i="52" s="1"/>
  <c r="U17" i="52"/>
  <c r="S18" i="52"/>
  <c r="T18" i="52"/>
  <c r="U18" i="52"/>
  <c r="S30" i="52"/>
  <c r="T30" i="52"/>
  <c r="U30" i="52"/>
  <c r="S40" i="52"/>
  <c r="S44" i="52" s="1"/>
  <c r="S51" i="52" s="1"/>
  <c r="S65" i="52" s="1"/>
  <c r="T40" i="52"/>
  <c r="T44" i="52" s="1"/>
  <c r="T51" i="52" s="1"/>
  <c r="U40" i="52"/>
  <c r="U44" i="52" s="1"/>
  <c r="U51" i="52" s="1"/>
  <c r="S42" i="52"/>
  <c r="T42" i="52"/>
  <c r="U42" i="52"/>
  <c r="S16" i="53"/>
  <c r="T16" i="53"/>
  <c r="U16" i="53"/>
  <c r="S17" i="53"/>
  <c r="S18" i="53"/>
  <c r="T18" i="53"/>
  <c r="U18" i="53"/>
  <c r="S30" i="53"/>
  <c r="T30" i="53"/>
  <c r="U30" i="53"/>
  <c r="S40" i="53"/>
  <c r="T40" i="53"/>
  <c r="U40" i="53"/>
  <c r="S42" i="53"/>
  <c r="T42" i="53"/>
  <c r="T17" i="53" s="1"/>
  <c r="T26" i="53" s="1"/>
  <c r="U42" i="53"/>
  <c r="U17" i="53" s="1"/>
  <c r="O42" i="54"/>
  <c r="N42" i="54"/>
  <c r="O40" i="54"/>
  <c r="N40" i="54"/>
  <c r="O30" i="54"/>
  <c r="N30" i="54"/>
  <c r="O18" i="54"/>
  <c r="O26" i="54" s="1"/>
  <c r="N18" i="54"/>
  <c r="N26" i="54" s="1"/>
  <c r="U41" i="51"/>
  <c r="U17" i="51" s="1"/>
  <c r="T41" i="51"/>
  <c r="T43" i="51" s="1"/>
  <c r="T50" i="51" s="1"/>
  <c r="S41" i="51"/>
  <c r="S17" i="51" s="1"/>
  <c r="U39" i="51"/>
  <c r="T39" i="5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U65" i="52" l="1"/>
  <c r="S26" i="52"/>
  <c r="U44" i="53"/>
  <c r="U51" i="53" s="1"/>
  <c r="S26" i="53"/>
  <c r="S53" i="53" s="1"/>
  <c r="S62" i="53" s="1"/>
  <c r="U43" i="51"/>
  <c r="U50" i="51" s="1"/>
  <c r="N44" i="54"/>
  <c r="N51" i="54" s="1"/>
  <c r="N65" i="54" s="1"/>
  <c r="T44" i="53"/>
  <c r="T51" i="53" s="1"/>
  <c r="T65" i="53" s="1"/>
  <c r="O44" i="54"/>
  <c r="O51" i="54" s="1"/>
  <c r="O65" i="54" s="1"/>
  <c r="S44" i="53"/>
  <c r="S51" i="53" s="1"/>
  <c r="S65" i="53" s="1"/>
  <c r="U26" i="53"/>
  <c r="S53" i="52"/>
  <c r="S62" i="52" s="1"/>
  <c r="T53" i="52"/>
  <c r="T62" i="52" s="1"/>
  <c r="U26" i="52"/>
  <c r="U53" i="52" s="1"/>
  <c r="U62" i="52" s="1"/>
  <c r="T65" i="52"/>
  <c r="U53" i="53"/>
  <c r="U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N18" i="50"/>
  <c r="N26" i="50" s="1"/>
  <c r="V42" i="46"/>
  <c r="V17" i="46" s="1"/>
  <c r="U42" i="46"/>
  <c r="T42" i="46"/>
  <c r="T17" i="46" s="1"/>
  <c r="V40" i="46"/>
  <c r="V44" i="46" s="1"/>
  <c r="V51" i="46" s="1"/>
  <c r="U40" i="46"/>
  <c r="T40" i="46"/>
  <c r="V30" i="46"/>
  <c r="U30" i="46"/>
  <c r="T30" i="46"/>
  <c r="V18" i="46"/>
  <c r="U18" i="46"/>
  <c r="T18" i="46"/>
  <c r="V16" i="46"/>
  <c r="U16" i="46"/>
  <c r="T16" i="46"/>
  <c r="V41" i="32"/>
  <c r="U41" i="32"/>
  <c r="U17" i="32" s="1"/>
  <c r="T41" i="32"/>
  <c r="T43" i="32" s="1"/>
  <c r="T50" i="32" s="1"/>
  <c r="V39" i="32"/>
  <c r="V43" i="32" s="1"/>
  <c r="V50" i="32" s="1"/>
  <c r="U39" i="32"/>
  <c r="U43" i="32" s="1"/>
  <c r="U50" i="32" s="1"/>
  <c r="T39" i="32"/>
  <c r="V30" i="32"/>
  <c r="U30" i="32"/>
  <c r="T30" i="32"/>
  <c r="V18" i="32"/>
  <c r="U18" i="32"/>
  <c r="T18" i="32"/>
  <c r="V17" i="32"/>
  <c r="V64" i="32" s="1"/>
  <c r="V16" i="32"/>
  <c r="U16" i="32"/>
  <c r="T16" i="32"/>
  <c r="N53" i="54" l="1"/>
  <c r="N62" i="54" s="1"/>
  <c r="U44" i="46"/>
  <c r="U51" i="46" s="1"/>
  <c r="O53" i="50"/>
  <c r="O62" i="50" s="1"/>
  <c r="T44" i="46"/>
  <c r="T51" i="46" s="1"/>
  <c r="T65" i="46" s="1"/>
  <c r="T53" i="53"/>
  <c r="T62" i="53" s="1"/>
  <c r="T64" i="51"/>
  <c r="T25" i="51"/>
  <c r="T52" i="51" s="1"/>
  <c r="T61" i="51" s="1"/>
  <c r="N53" i="50"/>
  <c r="N62" i="50" s="1"/>
  <c r="T26" i="46"/>
  <c r="V26" i="46"/>
  <c r="V53" i="46" s="1"/>
  <c r="V62" i="46" s="1"/>
  <c r="V65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M44" i="54" s="1"/>
  <c r="M51" i="54" s="1"/>
  <c r="M65" i="54" s="1"/>
  <c r="L40" i="54"/>
  <c r="M30" i="54"/>
  <c r="L30" i="54"/>
  <c r="M18" i="54"/>
  <c r="M26" i="54" s="1"/>
  <c r="L18" i="54"/>
  <c r="L26" i="54" s="1"/>
  <c r="R42" i="53"/>
  <c r="Q42" i="53"/>
  <c r="Q44" i="53" s="1"/>
  <c r="Q51" i="53" s="1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R39" i="51"/>
  <c r="Q39" i="51"/>
  <c r="P39" i="51"/>
  <c r="P43" i="51" s="1"/>
  <c r="P50" i="51" s="1"/>
  <c r="R30" i="51"/>
  <c r="Q30" i="51"/>
  <c r="P30" i="51"/>
  <c r="R18" i="51"/>
  <c r="Q18" i="51"/>
  <c r="P18" i="51"/>
  <c r="R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M41" i="49"/>
  <c r="L41" i="49"/>
  <c r="M39" i="49"/>
  <c r="M43" i="49" s="1"/>
  <c r="M50" i="49" s="1"/>
  <c r="M64" i="49" s="1"/>
  <c r="L39" i="49"/>
  <c r="L43" i="49" s="1"/>
  <c r="L50" i="49" s="1"/>
  <c r="L64" i="49" s="1"/>
  <c r="M30" i="49"/>
  <c r="L30" i="49"/>
  <c r="L25" i="49"/>
  <c r="M18" i="49"/>
  <c r="M25" i="49" s="1"/>
  <c r="L18" i="49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Q40" i="46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S39" i="32"/>
  <c r="R39" i="32"/>
  <c r="Q39" i="32"/>
  <c r="Q43" i="32" s="1"/>
  <c r="Q50" i="32" s="1"/>
  <c r="S30" i="32"/>
  <c r="R30" i="32"/>
  <c r="Q30" i="32"/>
  <c r="S18" i="32"/>
  <c r="R18" i="32"/>
  <c r="Q18" i="32"/>
  <c r="Q17" i="32"/>
  <c r="S16" i="32"/>
  <c r="R16" i="32"/>
  <c r="Q16" i="32"/>
  <c r="R44" i="46" l="1"/>
  <c r="R51" i="46" s="1"/>
  <c r="P44" i="53"/>
  <c r="P51" i="53" s="1"/>
  <c r="Q25" i="32"/>
  <c r="S43" i="32"/>
  <c r="S50" i="32" s="1"/>
  <c r="S64" i="32" s="1"/>
  <c r="L43" i="47"/>
  <c r="L50" i="47" s="1"/>
  <c r="L64" i="47" s="1"/>
  <c r="L43" i="48"/>
  <c r="L50" i="48" s="1"/>
  <c r="L64" i="48" s="1"/>
  <c r="P64" i="51"/>
  <c r="L44" i="54"/>
  <c r="L51" i="54" s="1"/>
  <c r="L65" i="54" s="1"/>
  <c r="Q44" i="52"/>
  <c r="Q51" i="52" s="1"/>
  <c r="R44" i="53"/>
  <c r="R51" i="53" s="1"/>
  <c r="T53" i="46"/>
  <c r="T62" i="46" s="1"/>
  <c r="U65" i="46"/>
  <c r="U26" i="46"/>
  <c r="U53" i="46" s="1"/>
  <c r="U62" i="46" s="1"/>
  <c r="T64" i="32"/>
  <c r="T25" i="32"/>
  <c r="T52" i="32" s="1"/>
  <c r="T61" i="32" s="1"/>
  <c r="M53" i="54"/>
  <c r="M62" i="54" s="1"/>
  <c r="R64" i="32"/>
  <c r="Q44" i="46"/>
  <c r="Q51" i="46" s="1"/>
  <c r="Q65" i="46" s="1"/>
  <c r="R43" i="32"/>
  <c r="R50" i="32" s="1"/>
  <c r="Q43" i="51"/>
  <c r="Q50" i="51" s="1"/>
  <c r="Q64" i="51" s="1"/>
  <c r="L52" i="49"/>
  <c r="L61" i="49" s="1"/>
  <c r="P25" i="51"/>
  <c r="P52" i="51" s="1"/>
  <c r="P61" i="51" s="1"/>
  <c r="Q26" i="46"/>
  <c r="S44" i="46"/>
  <c r="S51" i="46" s="1"/>
  <c r="M43" i="47"/>
  <c r="M50" i="47" s="1"/>
  <c r="M64" i="47" s="1"/>
  <c r="M43" i="48"/>
  <c r="M50" i="48" s="1"/>
  <c r="M64" i="48" s="1"/>
  <c r="R43" i="51"/>
  <c r="R50" i="51" s="1"/>
  <c r="R64" i="51" s="1"/>
  <c r="L52" i="47"/>
  <c r="L61" i="47" s="1"/>
  <c r="L52" i="48"/>
  <c r="L61" i="48" s="1"/>
  <c r="L44" i="50"/>
  <c r="L51" i="50" s="1"/>
  <c r="L65" i="50" s="1"/>
  <c r="P44" i="52"/>
  <c r="P51" i="52" s="1"/>
  <c r="P65" i="52" s="1"/>
  <c r="P65" i="53"/>
  <c r="P26" i="53"/>
  <c r="P53" i="53" s="1"/>
  <c r="P62" i="53" s="1"/>
  <c r="Q17" i="53"/>
  <c r="R17" i="53"/>
  <c r="P26" i="52"/>
  <c r="R26" i="52"/>
  <c r="R53" i="52" s="1"/>
  <c r="R62" i="52" s="1"/>
  <c r="R65" i="52"/>
  <c r="Q17" i="52"/>
  <c r="Q25" i="51"/>
  <c r="Q52" i="51" s="1"/>
  <c r="Q61" i="51" s="1"/>
  <c r="R25" i="51"/>
  <c r="R52" i="51" s="1"/>
  <c r="R61" i="51" s="1"/>
  <c r="M53" i="50"/>
  <c r="M62" i="50" s="1"/>
  <c r="M52" i="49"/>
  <c r="M61" i="49" s="1"/>
  <c r="M52" i="47"/>
  <c r="M61" i="47" s="1"/>
  <c r="R65" i="46"/>
  <c r="S65" i="46"/>
  <c r="S26" i="46"/>
  <c r="S53" i="46" s="1"/>
  <c r="S62" i="46" s="1"/>
  <c r="R26" i="46"/>
  <c r="R53" i="46" s="1"/>
  <c r="R62" i="46" s="1"/>
  <c r="Q64" i="32"/>
  <c r="Q52" i="32"/>
  <c r="Q61" i="32" s="1"/>
  <c r="S25" i="32"/>
  <c r="R25" i="32"/>
  <c r="R52" i="32" s="1"/>
  <c r="R61" i="32" s="1"/>
  <c r="S52" i="32" l="1"/>
  <c r="S61" i="32" s="1"/>
  <c r="L53" i="54"/>
  <c r="L62" i="54" s="1"/>
  <c r="Q53" i="46"/>
  <c r="Q62" i="46" s="1"/>
  <c r="L53" i="50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B42" i="56"/>
  <c r="B17" i="56" s="1"/>
  <c r="D40" i="56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C17" i="56"/>
  <c r="D16" i="56"/>
  <c r="C16" i="56"/>
  <c r="B16" i="56"/>
  <c r="K42" i="54"/>
  <c r="J42" i="54"/>
  <c r="K40" i="54"/>
  <c r="J40" i="54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O17" i="52" s="1"/>
  <c r="N42" i="52"/>
  <c r="N17" i="52" s="1"/>
  <c r="M42" i="52"/>
  <c r="O40" i="52"/>
  <c r="O44" i="52" s="1"/>
  <c r="O51" i="52" s="1"/>
  <c r="N40" i="52"/>
  <c r="N44" i="52" s="1"/>
  <c r="N51" i="52" s="1"/>
  <c r="M40" i="52"/>
  <c r="M44" i="52" s="1"/>
  <c r="M51" i="52" s="1"/>
  <c r="M65" i="52" s="1"/>
  <c r="O30" i="52"/>
  <c r="N30" i="52"/>
  <c r="M30" i="52"/>
  <c r="O21" i="52"/>
  <c r="N21" i="52"/>
  <c r="M21" i="52"/>
  <c r="O18" i="52"/>
  <c r="N18" i="52"/>
  <c r="M18" i="52"/>
  <c r="M17" i="52"/>
  <c r="O16" i="52"/>
  <c r="N16" i="52"/>
  <c r="M16" i="52"/>
  <c r="C26" i="56" l="1"/>
  <c r="J44" i="54"/>
  <c r="J51" i="54" s="1"/>
  <c r="O65" i="52"/>
  <c r="N44" i="53"/>
  <c r="N51" i="53" s="1"/>
  <c r="N65" i="53" s="1"/>
  <c r="D44" i="56"/>
  <c r="D51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J65" i="54"/>
  <c r="J53" i="54"/>
  <c r="J62" i="54" s="1"/>
  <c r="K44" i="54"/>
  <c r="K51" i="54" s="1"/>
  <c r="K65" i="54" s="1"/>
  <c r="B43" i="57"/>
  <c r="B50" i="57" s="1"/>
  <c r="B64" i="57" s="1"/>
  <c r="D65" i="56"/>
  <c r="N65" i="52"/>
  <c r="C43" i="57"/>
  <c r="C50" i="57" s="1"/>
  <c r="C64" i="57" s="1"/>
  <c r="N26" i="53"/>
  <c r="N53" i="53" s="1"/>
  <c r="N62" i="53" s="1"/>
  <c r="M44" i="53"/>
  <c r="M51" i="53" s="1"/>
  <c r="M65" i="53" s="1"/>
  <c r="B44" i="56"/>
  <c r="B51" i="56" s="1"/>
  <c r="B65" i="56" s="1"/>
  <c r="B26" i="56"/>
  <c r="C53" i="56"/>
  <c r="C62" i="56" s="1"/>
  <c r="D26" i="56"/>
  <c r="D53" i="56" s="1"/>
  <c r="D62" i="56" s="1"/>
  <c r="M26" i="53"/>
  <c r="O26" i="53"/>
  <c r="N26" i="52"/>
  <c r="N53" i="52" s="1"/>
  <c r="N62" i="52" s="1"/>
  <c r="O53" i="53" l="1"/>
  <c r="O62" i="53" s="1"/>
  <c r="K53" i="54"/>
  <c r="K62" i="54" s="1"/>
  <c r="B52" i="57"/>
  <c r="B61" i="57" s="1"/>
  <c r="B53" i="56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N39" i="5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N44" i="46" s="1"/>
  <c r="N51" i="46" s="1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N43" i="51" l="1"/>
  <c r="N50" i="51" s="1"/>
  <c r="O43" i="51"/>
  <c r="O50" i="51" s="1"/>
  <c r="J64" i="49"/>
  <c r="N43" i="32"/>
  <c r="N50" i="32" s="1"/>
  <c r="P43" i="32"/>
  <c r="P50" i="32" s="1"/>
  <c r="P64" i="32" s="1"/>
  <c r="K44" i="50"/>
  <c r="K51" i="50" s="1"/>
  <c r="K65" i="50" s="1"/>
  <c r="M43" i="51"/>
  <c r="M50" i="51" s="1"/>
  <c r="M64" i="51" s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25" i="5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K52" i="48"/>
  <c r="K61" i="48" s="1"/>
  <c r="J52" i="47"/>
  <c r="J61" i="47" s="1"/>
  <c r="K52" i="47"/>
  <c r="K61" i="47" s="1"/>
  <c r="N65" i="46"/>
  <c r="N26" i="46"/>
  <c r="N53" i="46" s="1"/>
  <c r="N62" i="46" s="1"/>
  <c r="O26" i="46"/>
  <c r="O53" i="46" s="1"/>
  <c r="O62" i="46" s="1"/>
  <c r="P26" i="46"/>
  <c r="N64" i="32"/>
  <c r="N25" i="32"/>
  <c r="N52" i="32" s="1"/>
  <c r="N61" i="32" s="1"/>
  <c r="O25" i="32"/>
  <c r="P25" i="32"/>
  <c r="M52" i="51" l="1"/>
  <c r="M61" i="51" s="1"/>
  <c r="J52" i="48"/>
  <c r="J61" i="48" s="1"/>
  <c r="P53" i="46"/>
  <c r="P62" i="46" s="1"/>
  <c r="P52" i="32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K43" i="32" s="1"/>
  <c r="K50" i="32" s="1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I18" i="54"/>
  <c r="I26" i="54" s="1"/>
  <c r="H18" i="54"/>
  <c r="H26" i="54" s="1"/>
  <c r="L42" i="53"/>
  <c r="L17" i="53" s="1"/>
  <c r="K42" i="53"/>
  <c r="K17" i="53" s="1"/>
  <c r="J42" i="53"/>
  <c r="L40" i="53"/>
  <c r="K40" i="53"/>
  <c r="J40" i="53"/>
  <c r="L30" i="53"/>
  <c r="K30" i="53"/>
  <c r="J30" i="53"/>
  <c r="L18" i="53"/>
  <c r="K18" i="53"/>
  <c r="J18" i="53"/>
  <c r="J17" i="53"/>
  <c r="L16" i="53"/>
  <c r="K16" i="53"/>
  <c r="J16" i="53"/>
  <c r="L42" i="52"/>
  <c r="L17" i="52" s="1"/>
  <c r="K42" i="52"/>
  <c r="K17" i="52" s="1"/>
  <c r="J42" i="52"/>
  <c r="J17" i="52" s="1"/>
  <c r="L40" i="52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K44" i="46" l="1"/>
  <c r="K51" i="46" s="1"/>
  <c r="L44" i="52"/>
  <c r="L51" i="52" s="1"/>
  <c r="K44" i="53"/>
  <c r="K51" i="53" s="1"/>
  <c r="H43" i="49"/>
  <c r="H50" i="49" s="1"/>
  <c r="H44" i="50"/>
  <c r="H51" i="50" s="1"/>
  <c r="J26" i="53"/>
  <c r="J53" i="53" s="1"/>
  <c r="J62" i="53" s="1"/>
  <c r="J44" i="52"/>
  <c r="J51" i="52" s="1"/>
  <c r="J65" i="52" s="1"/>
  <c r="L44" i="46"/>
  <c r="L51" i="46" s="1"/>
  <c r="J44" i="53"/>
  <c r="J51" i="53" s="1"/>
  <c r="M44" i="46"/>
  <c r="M51" i="46" s="1"/>
  <c r="H43" i="47"/>
  <c r="H50" i="47" s="1"/>
  <c r="H52" i="47" s="1"/>
  <c r="H61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K65" i="52" s="1"/>
  <c r="L44" i="53"/>
  <c r="L51" i="53" s="1"/>
  <c r="L65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26" i="53"/>
  <c r="J65" i="53"/>
  <c r="K65" i="53"/>
  <c r="K26" i="53"/>
  <c r="K53" i="53" s="1"/>
  <c r="K62" i="53" s="1"/>
  <c r="J26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H65" i="50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M65" i="46"/>
  <c r="K65" i="46"/>
  <c r="K26" i="46"/>
  <c r="K53" i="46" s="1"/>
  <c r="K62" i="46" s="1"/>
  <c r="L65" i="46"/>
  <c r="L26" i="46"/>
  <c r="L53" i="46" s="1"/>
  <c r="L62" i="46" s="1"/>
  <c r="M26" i="46"/>
  <c r="M53" i="46" s="1"/>
  <c r="M62" i="46" s="1"/>
  <c r="L53" i="53" l="1"/>
  <c r="L62" i="53" s="1"/>
  <c r="J53" i="52"/>
  <c r="J62" i="52" s="1"/>
  <c r="I53" i="50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I40" i="53"/>
  <c r="I44" i="53" s="1"/>
  <c r="I51" i="53" s="1"/>
  <c r="H40" i="53"/>
  <c r="G40" i="53"/>
  <c r="G44" i="53" s="1"/>
  <c r="G51" i="53" s="1"/>
  <c r="I30" i="53"/>
  <c r="H30" i="53"/>
  <c r="G30" i="53"/>
  <c r="I18" i="53"/>
  <c r="H18" i="53"/>
  <c r="G18" i="53"/>
  <c r="I17" i="53"/>
  <c r="G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I17" i="32" s="1"/>
  <c r="H41" i="32"/>
  <c r="J39" i="32"/>
  <c r="I39" i="32"/>
  <c r="H39" i="32"/>
  <c r="H43" i="32" s="1"/>
  <c r="H50" i="32" s="1"/>
  <c r="J30" i="32"/>
  <c r="I30" i="32"/>
  <c r="H30" i="32"/>
  <c r="J18" i="32"/>
  <c r="I18" i="32"/>
  <c r="H18" i="32"/>
  <c r="H17" i="32"/>
  <c r="J16" i="32"/>
  <c r="I16" i="32"/>
  <c r="H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F42" i="53"/>
  <c r="E42" i="53"/>
  <c r="D42" i="53"/>
  <c r="D17" i="53" s="1"/>
  <c r="C42" i="53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C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D26" i="52" s="1"/>
  <c r="C42" i="52"/>
  <c r="C17" i="52" s="1"/>
  <c r="B42" i="52"/>
  <c r="F40" i="52"/>
  <c r="E40" i="52"/>
  <c r="D40" i="52"/>
  <c r="C40" i="52"/>
  <c r="B40" i="52"/>
  <c r="B44" i="52" s="1"/>
  <c r="B51" i="52" s="1"/>
  <c r="F30" i="52"/>
  <c r="E30" i="52"/>
  <c r="D30" i="52"/>
  <c r="C30" i="52"/>
  <c r="B30" i="52"/>
  <c r="F18" i="52"/>
  <c r="E18" i="52"/>
  <c r="D18" i="52"/>
  <c r="C18" i="52"/>
  <c r="B18" i="52"/>
  <c r="B17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D40" i="50"/>
  <c r="D44" i="50" s="1"/>
  <c r="D51" i="50" s="1"/>
  <c r="D65" i="50" s="1"/>
  <c r="C40" i="50"/>
  <c r="C44" i="50" s="1"/>
  <c r="C51" i="50" s="1"/>
  <c r="C65" i="50" s="1"/>
  <c r="B40" i="50"/>
  <c r="E30" i="50"/>
  <c r="D30" i="50"/>
  <c r="C30" i="50"/>
  <c r="B30" i="50"/>
  <c r="E18" i="50"/>
  <c r="E26" i="50" s="1"/>
  <c r="D18" i="50"/>
  <c r="D26" i="50" s="1"/>
  <c r="D53" i="50" s="1"/>
  <c r="D62" i="50" s="1"/>
  <c r="C18" i="50"/>
  <c r="C26" i="50" s="1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D26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C31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E44" i="50" l="1"/>
  <c r="E51" i="50" s="1"/>
  <c r="E65" i="50" s="1"/>
  <c r="I43" i="32"/>
  <c r="I50" i="32" s="1"/>
  <c r="E53" i="50"/>
  <c r="E62" i="50" s="1"/>
  <c r="D43" i="32"/>
  <c r="D50" i="32" s="1"/>
  <c r="D52" i="49"/>
  <c r="D61" i="49" s="1"/>
  <c r="E43" i="32"/>
  <c r="E50" i="32" s="1"/>
  <c r="G43" i="32"/>
  <c r="G50" i="32" s="1"/>
  <c r="G44" i="54"/>
  <c r="G51" i="54" s="1"/>
  <c r="G65" i="54" s="1"/>
  <c r="C49" i="29"/>
  <c r="C56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C58" i="31" s="1"/>
  <c r="C67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B48" i="29"/>
  <c r="B55" i="29" s="1"/>
  <c r="B69" i="29" s="1"/>
  <c r="B43" i="32"/>
  <c r="B50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G65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D64" i="32"/>
  <c r="E44" i="46"/>
  <c r="E51" i="46" s="1"/>
  <c r="E65" i="46" s="1"/>
  <c r="C43" i="51"/>
  <c r="C50" i="51" s="1"/>
  <c r="C64" i="51" s="1"/>
  <c r="C44" i="52"/>
  <c r="C51" i="52" s="1"/>
  <c r="C65" i="52" s="1"/>
  <c r="E65" i="53"/>
  <c r="B44" i="53"/>
  <c r="B51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H65" i="46" s="1"/>
  <c r="G53" i="54"/>
  <c r="G62" i="54" s="1"/>
  <c r="C70" i="31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J65" i="46"/>
  <c r="I65" i="46"/>
  <c r="I26" i="46"/>
  <c r="I53" i="46" s="1"/>
  <c r="I62" i="46" s="1"/>
  <c r="J26" i="46"/>
  <c r="H26" i="46"/>
  <c r="I25" i="32"/>
  <c r="I52" i="32" s="1"/>
  <c r="I61" i="32" s="1"/>
  <c r="J25" i="32"/>
  <c r="C70" i="29"/>
  <c r="C31" i="29"/>
  <c r="C58" i="29" s="1"/>
  <c r="C67" i="29" s="1"/>
  <c r="E64" i="32"/>
  <c r="C53" i="50"/>
  <c r="C62" i="50" s="1"/>
  <c r="G64" i="32"/>
  <c r="E52" i="47"/>
  <c r="E61" i="47" s="1"/>
  <c r="B65" i="53"/>
  <c r="B52" i="49"/>
  <c r="B61" i="49" s="1"/>
  <c r="E26" i="52"/>
  <c r="E53" i="52" s="1"/>
  <c r="E62" i="52" s="1"/>
  <c r="E65" i="52"/>
  <c r="B65" i="52"/>
  <c r="E26" i="46"/>
  <c r="B64" i="32"/>
  <c r="B65" i="46"/>
  <c r="D52" i="48"/>
  <c r="D61" i="48" s="1"/>
  <c r="E52" i="49"/>
  <c r="E61" i="49" s="1"/>
  <c r="D65" i="53"/>
  <c r="D26" i="53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G52" i="49" l="1"/>
  <c r="G61" i="49" s="1"/>
  <c r="D65" i="46"/>
  <c r="C52" i="48"/>
  <c r="C61" i="48" s="1"/>
  <c r="E58" i="29"/>
  <c r="E67" i="29" s="1"/>
  <c r="D53" i="53"/>
  <c r="D62" i="53" s="1"/>
  <c r="D57" i="31"/>
  <c r="D66" i="31" s="1"/>
  <c r="B57" i="29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<sst xmlns="http://schemas.openxmlformats.org/spreadsheetml/2006/main" count="5883" uniqueCount="142">
  <si>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</si>
  <si>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</si>
  <si>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</si>
  <si>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</si>
  <si>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</si>
  <si>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</si>
  <si>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</si>
  <si>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</si>
  <si>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</si>
  <si>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</si>
  <si>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</si>
  <si>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</si>
  <si>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</si>
  <si>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</si>
  <si>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</si>
  <si>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</si>
  <si>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</si>
  <si>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</si>
  <si>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</si>
  <si>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</si>
  <si>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</si>
  <si>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</si>
  <si>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</si>
  <si>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</si>
  <si>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</si>
  <si>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</si>
  <si>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</si>
  <si>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</si>
  <si>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</si>
  <si>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</si>
  <si>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</si>
  <si>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</si>
  <si>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</si>
  <si>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</si>
  <si>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</si>
  <si>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</si>
  <si>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</si>
  <si>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</si>
  <si>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</si>
  <si>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</si>
  <si>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</si>
  <si>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</si>
  <si>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</si>
  <si>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</si>
  <si>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</si>
  <si>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</si>
  <si>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</si>
  <si>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</si>
  <si>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</si>
  <si>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</si>
  <si>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</si>
  <si>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</si>
  <si>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</si>
  <si>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</si>
  <si>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</si>
  <si>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</si>
  <si>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</si>
  <si>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</si>
  <si>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</si>
  <si>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</si>
  <si>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</si>
  <si>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</si>
  <si>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</si>
  <si>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</si>
  <si>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</si>
  <si>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</si>
  <si>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</si>
  <si>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</si>
  <si>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</si>
  <si>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</si>
  <si>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</si>
  <si>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</si>
  <si>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</si>
  <si>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</si>
  <si>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</si>
  <si>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</si>
  <si>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</si>
  <si>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</si>
  <si>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</si>
  <si>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</si>
  <si>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</si>
  <si>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</si>
  <si>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</si>
  <si>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</si>
  <si>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</si>
  <si>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</si>
  <si>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</si>
  <si>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</si>
  <si>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</si>
  <si>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</si>
  <si>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</si>
  <si>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</si>
  <si>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</si>
  <si>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</si>
  <si>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</si>
  <si>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</si>
  <si>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</si>
  <si>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</si>
  <si>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</si>
  <si>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</si>
  <si>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</si>
  <si>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</si>
  <si>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</si>
  <si>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</si>
  <si>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</si>
  <si>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</si>
  <si>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</si>
  <si>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</si>
  <si>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</si>
  <si>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</si>
  <si>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</si>
  <si>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</si>
  <si>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</si>
  <si>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</si>
  <si>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</si>
  <si>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</si>
  <si>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</si>
  <si>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</si>
  <si>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</si>
  <si>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</si>
  <si>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</si>
  <si>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</si>
  <si>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</si>
  <si>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</si>
  <si>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</si>
  <si>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</si>
  <si>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</si>
  <si>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</si>
  <si>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</si>
  <si>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</si>
  <si>
    <t>NTT DOCOMO</t>
    <phoneticPr fontId="15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</si>
  <si>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</si>
  <si>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</si>
  <si>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</si>
  <si>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</si>
  <si>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</si>
  <si>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</si>
  <si>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Panasonic</t>
    <phoneticPr fontId="14" type="noConversion"/>
  </si>
  <si>
    <t>Panasonic</t>
    <phoneticPr fontId="15"/>
  </si>
  <si>
    <t>Huawei, HiSilicon</t>
    <phoneticPr fontId="9" type="noConversion"/>
  </si>
  <si>
    <t>Huawei, HiSilicon</t>
    <phoneticPr fontId="9" type="noConversion"/>
  </si>
  <si>
    <t>-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</si>
</sst>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00_ "/>
    <numFmt numFmtId="165" formatCode="0.00_ "/>
  </numFmts>
  <fonts count="16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1">
      <alignment vertical="center"/>
    </xf>
    <xf numFmtId="165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165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5" fontId="0" fillId="5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vertical="center" wrapText="1"/>
    </xf>
    <xf numFmtId="165" fontId="11" fillId="8" borderId="1" xfId="1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 wrapText="1"/>
    </xf>
    <xf numFmtId="165" fontId="13" fillId="5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65" fontId="12" fillId="0" borderId="0" xfId="1" applyNumberFormat="1" applyFont="1">
      <alignment vertical="center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16384" width="9" style="1"/>
  </cols>
  <sheetData>
    <row r="1" spans="1:6" ht="15">
      <c r="A1" s="39" t="s">
        <v>0</v>
      </c>
    </row>
    <row r="2" spans="1:6" ht="30">
      <c r="A2" s="40" t="s">
        <v>1</v>
      </c>
    </row>
    <row r="3" spans="1:6" ht="15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 ht="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 ht="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60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60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 ht="15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 ht="15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5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60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 ht="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 ht="15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 ht="15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 ht="15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 ht="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30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30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30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30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 ht="15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6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6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6" ht="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6" ht="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6" ht="30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30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 ht="15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 ht="15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5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70" zoomScaleNormal="70" workbookViewId="0">
      <pane xSplit="1" ySplit="1" topLeftCell="T2" activePane="bottomRight" state="frozen"/>
      <selection pane="topRight"/>
      <selection pane="bottomLeft"/>
      <selection pane="bottomRight" activeCell="AE1" sqref="AE1:AG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2.5" style="1" bestFit="1" customWidth="1"/>
    <col min="17" max="18" width="15.75" style="1" bestFit="1" customWidth="1"/>
    <col min="19" max="19" width="17.625" style="1" customWidth="1"/>
    <col min="20" max="20" width="13.25" style="1" customWidth="1"/>
    <col min="21" max="21" width="20.7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30" width="15.75" style="1" customWidth="1"/>
    <col min="31" max="31" width="15.625" style="2" customWidth="1"/>
    <col min="32" max="33" width="15.625" style="1" customWidth="1"/>
    <col min="34" max="16384" width="9" style="1"/>
  </cols>
  <sheetData>
    <row r="1" spans="1:33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123</v>
      </c>
      <c r="N1" s="90"/>
      <c r="O1" s="90"/>
      <c r="P1" s="90" t="s">
        <v>125</v>
      </c>
      <c r="Q1" s="90"/>
      <c r="R1" s="90"/>
      <c r="S1" s="90" t="s">
        <v>128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</row>
    <row r="2" spans="1:33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</row>
    <row r="3" spans="1:33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</row>
    <row r="4" spans="1:3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</row>
    <row r="5" spans="1:3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</row>
    <row r="6" spans="1:33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</row>
    <row r="7" spans="1:33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</row>
    <row r="8" spans="1:33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</row>
    <row r="9" spans="1:3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</row>
    <row r="10" spans="1:3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</row>
    <row r="11" spans="1:33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</row>
    <row r="13" spans="1:33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</row>
    <row r="14" spans="1:33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</row>
    <row r="15" spans="1:33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</row>
    <row r="16" spans="1:33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>AE15+10*LOG10(AE4)</f>
        <v>53</v>
      </c>
      <c r="AF16" s="12">
        <f>AF15+10*LOG10(AF4)</f>
        <v>53</v>
      </c>
      <c r="AG16" s="12">
        <f>AG15+10*LOG10(AG4)</f>
        <v>53</v>
      </c>
    </row>
    <row r="17" spans="1:33" ht="30">
      <c r="A17" s="7" t="s">
        <v>35</v>
      </c>
      <c r="B17" s="12">
        <f t="shared" ref="B17:I17" si="4">B15+10*LOG10(B42/1000000)</f>
        <v>34.583624920952495</v>
      </c>
      <c r="C17" s="12">
        <f t="shared" si="4"/>
        <v>34.583624920952495</v>
      </c>
      <c r="D17" s="12">
        <f t="shared" si="4"/>
        <v>34.583624920952495</v>
      </c>
      <c r="E17" s="12">
        <f t="shared" si="4"/>
        <v>33.334237554869496</v>
      </c>
      <c r="F17" s="12">
        <f t="shared" si="4"/>
        <v>33.334237554869496</v>
      </c>
      <c r="G17" s="71">
        <f t="shared" si="4"/>
        <v>33.334237554869496</v>
      </c>
      <c r="H17" s="71">
        <f t="shared" si="4"/>
        <v>33.334237554869496</v>
      </c>
      <c r="I17" s="71">
        <f t="shared" si="4"/>
        <v>33.334237554869496</v>
      </c>
      <c r="J17" s="12">
        <f t="shared" ref="J17:O17" si="5">J15+10*LOG10(J42/1000000)</f>
        <v>34.583624920952495</v>
      </c>
      <c r="K17" s="12">
        <f t="shared" si="5"/>
        <v>34.583624920952495</v>
      </c>
      <c r="L17" s="12">
        <f t="shared" si="5"/>
        <v>34.583624920952495</v>
      </c>
      <c r="M17" s="12">
        <f t="shared" si="5"/>
        <v>34.583624920952495</v>
      </c>
      <c r="N17" s="12">
        <f t="shared" si="5"/>
        <v>34.583624920952495</v>
      </c>
      <c r="O17" s="12">
        <f t="shared" si="5"/>
        <v>34.583624920952495</v>
      </c>
      <c r="P17" s="12">
        <f t="shared" ref="P17:U17" si="6">P15+10*LOG10(P42/1000000)</f>
        <v>33.334237554869496</v>
      </c>
      <c r="Q17" s="12">
        <f t="shared" si="6"/>
        <v>33.334237554869496</v>
      </c>
      <c r="R17" s="12">
        <f t="shared" si="6"/>
        <v>33.334237554869496</v>
      </c>
      <c r="S17" s="8">
        <f t="shared" si="6"/>
        <v>33.334237554869496</v>
      </c>
      <c r="T17" s="8">
        <f t="shared" si="6"/>
        <v>33.334237554869496</v>
      </c>
      <c r="U17" s="8">
        <f t="shared" si="6"/>
        <v>33.334237554869496</v>
      </c>
      <c r="V17" s="8">
        <f t="shared" ref="V17:AA17" si="7">V15+10*LOG10(V42/1000000)</f>
        <v>33.334237554869496</v>
      </c>
      <c r="W17" s="8">
        <f t="shared" si="7"/>
        <v>33.334237554869496</v>
      </c>
      <c r="X17" s="8">
        <f t="shared" si="7"/>
        <v>33.334237554869496</v>
      </c>
      <c r="Y17" s="12">
        <f t="shared" si="7"/>
        <v>33.334237554869496</v>
      </c>
      <c r="Z17" s="12">
        <f t="shared" si="7"/>
        <v>33.334237554869496</v>
      </c>
      <c r="AA17" s="12">
        <f t="shared" si="7"/>
        <v>33.334237554869496</v>
      </c>
      <c r="AB17" s="12">
        <f>AB15+10*LOG10(AB42/1000000)</f>
        <v>34.583624920952495</v>
      </c>
      <c r="AC17" s="12">
        <f>AC15+10*LOG10(AC42/1000000)</f>
        <v>34.583624920952495</v>
      </c>
      <c r="AD17" s="12"/>
      <c r="AE17" s="12">
        <f>AE15+10*LOG10(AE42/1000000)</f>
        <v>41.115750058705935</v>
      </c>
      <c r="AF17" s="12">
        <f>AF15+10*LOG10(AF42/1000000)</f>
        <v>41.115750058705935</v>
      </c>
      <c r="AG17" s="12">
        <f>AG15+10*LOG10(AG42/1000000)</f>
        <v>41.115750058705935</v>
      </c>
    </row>
    <row r="18" spans="1:33" ht="45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 t="shared" ref="J18:O18" si="9">J19+10*LOG10(J12/J13)-J20</f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>AE19+10*LOG10(AE12/AE13)-AE20</f>
        <v>12.771212547196624</v>
      </c>
      <c r="AF18" s="12">
        <f>AF19+10*LOG10(AF12/AF13)-AF20</f>
        <v>12.771212547196624</v>
      </c>
      <c r="AG18" s="12">
        <f>AG19+10*LOG10(AG12/AG13)-AG20</f>
        <v>12.771212547196624</v>
      </c>
    </row>
    <row r="19" spans="1:33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</row>
    <row r="20" spans="1:33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</row>
    <row r="21" spans="1:33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</row>
    <row r="22" spans="1:33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</row>
    <row r="23" spans="1:33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</row>
    <row r="24" spans="1:33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</row>
    <row r="25" spans="1:33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</row>
    <row r="26" spans="1:33" ht="15">
      <c r="A26" s="7" t="s">
        <v>51</v>
      </c>
      <c r="B26" s="12">
        <f t="shared" ref="B26:I26" si="13">B17+B18+B21-B23-B24</f>
        <v>52.354837468149121</v>
      </c>
      <c r="C26" s="12">
        <f t="shared" si="13"/>
        <v>52.354837468149121</v>
      </c>
      <c r="D26" s="12">
        <f t="shared" si="13"/>
        <v>52.354837468149121</v>
      </c>
      <c r="E26" s="12">
        <f t="shared" si="13"/>
        <v>41.765450102066119</v>
      </c>
      <c r="F26" s="12">
        <f t="shared" si="13"/>
        <v>41.765450102066119</v>
      </c>
      <c r="G26" s="71">
        <f t="shared" si="13"/>
        <v>51.105450102066122</v>
      </c>
      <c r="H26" s="71">
        <f t="shared" si="13"/>
        <v>51.105450102066122</v>
      </c>
      <c r="I26" s="71">
        <f t="shared" si="13"/>
        <v>51.105450102066122</v>
      </c>
      <c r="J26" s="12">
        <f t="shared" ref="J26:O26" si="14">J17+J18+J21-J23-J24</f>
        <v>52.354837468149121</v>
      </c>
      <c r="K26" s="12">
        <f t="shared" si="14"/>
        <v>52.354837468149121</v>
      </c>
      <c r="L26" s="12">
        <f t="shared" si="14"/>
        <v>52.354837468149121</v>
      </c>
      <c r="M26" s="12">
        <f t="shared" si="14"/>
        <v>48.756337251348185</v>
      </c>
      <c r="N26" s="12">
        <f t="shared" si="14"/>
        <v>48.756337251348185</v>
      </c>
      <c r="O26" s="12">
        <f t="shared" si="14"/>
        <v>48.756337251348185</v>
      </c>
      <c r="P26" s="12">
        <f t="shared" ref="P26:U26" si="15">P17+P18+P21-P23-P24</f>
        <v>51.105450102066122</v>
      </c>
      <c r="Q26" s="12">
        <f t="shared" si="15"/>
        <v>51.105450102066122</v>
      </c>
      <c r="R26" s="12">
        <f t="shared" si="15"/>
        <v>51.105450102066122</v>
      </c>
      <c r="S26" s="8">
        <f t="shared" si="15"/>
        <v>53.105450102066122</v>
      </c>
      <c r="T26" s="8">
        <f t="shared" si="15"/>
        <v>53.105450102066122</v>
      </c>
      <c r="U26" s="8">
        <f t="shared" si="15"/>
        <v>53.105450102066122</v>
      </c>
      <c r="V26" s="8">
        <f t="shared" ref="V26:AA26" si="16">V17+V18+V21-V23-V24</f>
        <v>58.155450102066126</v>
      </c>
      <c r="W26" s="8">
        <f t="shared" si="16"/>
        <v>58.155450102066126</v>
      </c>
      <c r="X26" s="8">
        <f t="shared" si="16"/>
        <v>58.155450102066126</v>
      </c>
      <c r="Y26" s="12">
        <f t="shared" si="16"/>
        <v>51.105450102066122</v>
      </c>
      <c r="Z26" s="12">
        <f t="shared" si="16"/>
        <v>51.105450102066122</v>
      </c>
      <c r="AA26" s="12">
        <f t="shared" si="16"/>
        <v>51.105450102066122</v>
      </c>
      <c r="AB26" s="12">
        <f>AB17+AB18+AB21-AB23-AB24</f>
        <v>56.354837468149121</v>
      </c>
      <c r="AC26" s="12">
        <f>AC17+AC18+AC21-AC23-AC24</f>
        <v>56.354837468149121</v>
      </c>
      <c r="AD26" s="12"/>
      <c r="AE26" s="12">
        <f>AE17+AE18+AE21-AE23-AE24</f>
        <v>58.886962605902561</v>
      </c>
      <c r="AF26" s="12">
        <f>AF17+AF18+AF21-AF23-AF24</f>
        <v>58.886962605902561</v>
      </c>
      <c r="AG26" s="12">
        <f>AG17+AG18+AG21-AG23-AG24</f>
        <v>58.886962605902561</v>
      </c>
    </row>
    <row r="27" spans="1:33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</row>
    <row r="29" spans="1:33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</row>
    <row r="30" spans="1:33" ht="45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 t="shared" ref="J30:O30" si="18">J31+10*LOG10(J28/J29)-J32</f>
        <v>0</v>
      </c>
      <c r="K30" s="12">
        <f t="shared" si="18"/>
        <v>-3</v>
      </c>
      <c r="L30" s="12">
        <f t="shared" si="18"/>
        <v>-3</v>
      </c>
      <c r="M30" s="12">
        <f t="shared" si="18"/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>AE31+10*LOG10(AE28/AE29)-AE32</f>
        <v>0</v>
      </c>
      <c r="AF30" s="12">
        <f>AF31+10*LOG10(AF28/AF29)-AF32</f>
        <v>-3</v>
      </c>
      <c r="AG30" s="12">
        <f>AG31+10*LOG10(AG28/AG29)-AG32</f>
        <v>-3</v>
      </c>
    </row>
    <row r="31" spans="1:33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</row>
    <row r="32" spans="1:33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</row>
    <row r="33" spans="1:33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</row>
    <row r="34" spans="1:33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</row>
    <row r="35" spans="1:33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</row>
    <row r="36" spans="1:3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</row>
    <row r="37" spans="1:33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</row>
    <row r="38" spans="1:33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</row>
    <row r="39" spans="1:33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</row>
    <row r="40" spans="1:33" ht="30">
      <c r="A40" s="7" t="s">
        <v>107</v>
      </c>
      <c r="B40" s="12">
        <f t="shared" ref="B40:I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>
        <f t="shared" si="21"/>
        <v>-167.00000000000003</v>
      </c>
      <c r="G40" s="71">
        <f t="shared" si="21"/>
        <v>-167.00000000000003</v>
      </c>
      <c r="H40" s="71">
        <f t="shared" si="21"/>
        <v>-167.00000000000003</v>
      </c>
      <c r="I40" s="71">
        <f t="shared" si="21"/>
        <v>-167.00000000000003</v>
      </c>
      <c r="J40" s="12">
        <f t="shared" ref="J40:O40" si="22">10*LOG10(10^((J35+J36)/10)+10^(J38/10))</f>
        <v>-167.00000000000003</v>
      </c>
      <c r="K40" s="12">
        <f t="shared" si="22"/>
        <v>-167.00000000000003</v>
      </c>
      <c r="L40" s="12">
        <f t="shared" si="22"/>
        <v>-167.00000000000003</v>
      </c>
      <c r="M40" s="12">
        <f t="shared" si="22"/>
        <v>-164.98918835931039</v>
      </c>
      <c r="N40" s="12">
        <f t="shared" si="22"/>
        <v>-164.98918835931039</v>
      </c>
      <c r="O40" s="12">
        <f t="shared" si="22"/>
        <v>-164.98918835931039</v>
      </c>
      <c r="P40" s="12">
        <f t="shared" ref="P40:U40" si="23">10*LOG10(10^((P35+P36)/10)+10^(P38/10))</f>
        <v>-167.00000000000003</v>
      </c>
      <c r="Q40" s="12">
        <f t="shared" si="23"/>
        <v>-167.00000000000003</v>
      </c>
      <c r="R40" s="12">
        <f t="shared" si="23"/>
        <v>-167.00000000000003</v>
      </c>
      <c r="S40" s="8">
        <f t="shared" si="23"/>
        <v>-167.00000000000003</v>
      </c>
      <c r="T40" s="8">
        <f t="shared" si="23"/>
        <v>-167.00000000000003</v>
      </c>
      <c r="U40" s="8">
        <f t="shared" si="23"/>
        <v>-167.00000000000003</v>
      </c>
      <c r="V40" s="8">
        <f t="shared" ref="V40:AA40" si="24">10*LOG10(10^((V35+V36)/10)+10^(V38/10))</f>
        <v>-164.98918835931039</v>
      </c>
      <c r="W40" s="8">
        <f t="shared" si="24"/>
        <v>-164.98918835931039</v>
      </c>
      <c r="X40" s="8">
        <f t="shared" si="24"/>
        <v>-164.98918835931039</v>
      </c>
      <c r="Y40" s="12">
        <f t="shared" si="24"/>
        <v>-167.00000000000003</v>
      </c>
      <c r="Z40" s="12">
        <f t="shared" si="24"/>
        <v>-167.00000000000003</v>
      </c>
      <c r="AA40" s="12">
        <f t="shared" si="2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>10*LOG10(10^((AE35+AE36)/10)+10^(AE38/10))</f>
        <v>-164.98918835931039</v>
      </c>
      <c r="AF40" s="12">
        <f>10*LOG10(10^((AF35+AF36)/10)+10^(AF38/10))</f>
        <v>-164.98918835931039</v>
      </c>
      <c r="AG40" s="12">
        <f>10*LOG10(10^((AG35+AG36)/10)+10^(AG38/10))</f>
        <v>-164.98918835931039</v>
      </c>
    </row>
    <row r="41" spans="1:33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</row>
    <row r="42" spans="1:33" ht="15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25">3*360*1000</f>
        <v>1080000</v>
      </c>
      <c r="I42" s="74">
        <f t="shared" si="25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26">4*360*1000</f>
        <v>1440000</v>
      </c>
      <c r="O42" s="16">
        <f t="shared" si="26"/>
        <v>1440000</v>
      </c>
      <c r="P42" s="16">
        <f>3*360*1000</f>
        <v>1080000</v>
      </c>
      <c r="Q42" s="16">
        <f t="shared" ref="Q42:R42" si="27">3*360*1000</f>
        <v>1080000</v>
      </c>
      <c r="R42" s="16">
        <f t="shared" si="27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28">3*360*1000</f>
        <v>1080000</v>
      </c>
      <c r="X42" s="16">
        <f t="shared" si="28"/>
        <v>1080000</v>
      </c>
      <c r="Y42" s="16">
        <f>3*360*1000</f>
        <v>1080000</v>
      </c>
      <c r="Z42" s="16">
        <f t="shared" ref="Z42:AA42" si="29">3*360*1000</f>
        <v>1080000</v>
      </c>
      <c r="AA42" s="16">
        <f t="shared" si="29"/>
        <v>1080000</v>
      </c>
      <c r="AB42" s="16">
        <f>4*360*1000</f>
        <v>1440000</v>
      </c>
      <c r="AC42" s="16">
        <f>4*360*1000</f>
        <v>1440000</v>
      </c>
      <c r="AD42" s="16"/>
      <c r="AE42" s="16">
        <f>18*360*1000</f>
        <v>6480000</v>
      </c>
      <c r="AF42" s="16">
        <f>18*360*1000</f>
        <v>6480000</v>
      </c>
      <c r="AG42" s="16">
        <f>18*360*1000</f>
        <v>6480000</v>
      </c>
    </row>
    <row r="43" spans="1:33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</row>
    <row r="44" spans="1:33" ht="15">
      <c r="A44" s="7" t="s">
        <v>72</v>
      </c>
      <c r="B44" s="12">
        <f t="shared" ref="B44:I44" si="30">B40+10*LOG10(B42)</f>
        <v>-105.41637507904753</v>
      </c>
      <c r="C44" s="12">
        <f t="shared" si="30"/>
        <v>-105.41637507904753</v>
      </c>
      <c r="D44" s="12">
        <f t="shared" si="30"/>
        <v>-105.41637507904753</v>
      </c>
      <c r="E44" s="12">
        <f t="shared" si="30"/>
        <v>-106.66576244513053</v>
      </c>
      <c r="F44" s="12">
        <f t="shared" si="30"/>
        <v>-106.66576244513053</v>
      </c>
      <c r="G44" s="71">
        <f t="shared" si="30"/>
        <v>-106.66576244513053</v>
      </c>
      <c r="H44" s="71">
        <f t="shared" si="30"/>
        <v>-106.66576244513053</v>
      </c>
      <c r="I44" s="71">
        <f t="shared" si="30"/>
        <v>-106.66576244513053</v>
      </c>
      <c r="J44" s="12">
        <f t="shared" ref="J44:O44" si="31">J40+10*LOG10(J42)</f>
        <v>-105.41637507904753</v>
      </c>
      <c r="K44" s="12">
        <f t="shared" si="31"/>
        <v>-105.41637507904753</v>
      </c>
      <c r="L44" s="12">
        <f t="shared" si="31"/>
        <v>-105.41637507904753</v>
      </c>
      <c r="M44" s="12">
        <f t="shared" si="31"/>
        <v>-103.40556343835789</v>
      </c>
      <c r="N44" s="12">
        <f t="shared" si="31"/>
        <v>-103.40556343835789</v>
      </c>
      <c r="O44" s="12">
        <f t="shared" si="31"/>
        <v>-103.40556343835789</v>
      </c>
      <c r="P44" s="12">
        <f t="shared" ref="P44:U44" si="32">P40+10*LOG10(P42)</f>
        <v>-106.66576244513053</v>
      </c>
      <c r="Q44" s="12">
        <f t="shared" si="32"/>
        <v>-106.66576244513053</v>
      </c>
      <c r="R44" s="12">
        <f t="shared" si="32"/>
        <v>-106.66576244513053</v>
      </c>
      <c r="S44" s="8">
        <f t="shared" si="32"/>
        <v>-106.66576244513053</v>
      </c>
      <c r="T44" s="8">
        <f t="shared" si="32"/>
        <v>-106.66576244513053</v>
      </c>
      <c r="U44" s="8">
        <f t="shared" si="32"/>
        <v>-106.66576244513053</v>
      </c>
      <c r="V44" s="8">
        <f t="shared" ref="V44:AA44" si="33">V40+10*LOG10(V42)</f>
        <v>-104.65495080444089</v>
      </c>
      <c r="W44" s="8">
        <f t="shared" si="33"/>
        <v>-104.65495080444089</v>
      </c>
      <c r="X44" s="8">
        <f t="shared" si="33"/>
        <v>-104.65495080444089</v>
      </c>
      <c r="Y44" s="12">
        <f t="shared" si="33"/>
        <v>-106.66576244513053</v>
      </c>
      <c r="Z44" s="12">
        <f t="shared" si="33"/>
        <v>-106.66576244513053</v>
      </c>
      <c r="AA44" s="12">
        <f t="shared" si="33"/>
        <v>-106.66576244513053</v>
      </c>
      <c r="AB44" s="12">
        <f>AB40+10*LOG10(AB42)</f>
        <v>-103.40556343835789</v>
      </c>
      <c r="AC44" s="12">
        <f>AC40+10*LOG10(AC42)</f>
        <v>-103.40556343835789</v>
      </c>
      <c r="AD44" s="12"/>
      <c r="AE44" s="12">
        <f>AE40+10*LOG10(AE42)</f>
        <v>-96.873438300604462</v>
      </c>
      <c r="AF44" s="12">
        <f>AF40+10*LOG10(AF42)</f>
        <v>-96.873438300604462</v>
      </c>
      <c r="AG44" s="12">
        <f>AG40+10*LOG10(AG42)</f>
        <v>-96.873438300604462</v>
      </c>
    </row>
    <row r="45" spans="1:33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</row>
    <row r="46" spans="1:33" ht="15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  <c r="Y46" s="16">
        <v>-5.71</v>
      </c>
      <c r="Z46" s="16">
        <v>-1.17</v>
      </c>
      <c r="AA46" s="16">
        <v>4.51</v>
      </c>
      <c r="AB46" s="16">
        <v>-4</v>
      </c>
      <c r="AC46" s="16">
        <v>-0.8</v>
      </c>
      <c r="AD46" s="16"/>
      <c r="AE46" s="16">
        <v>-8.34</v>
      </c>
      <c r="AF46" s="16">
        <v>-4.8499999999999996</v>
      </c>
      <c r="AG46" s="16">
        <v>-0.56000000000000005</v>
      </c>
    </row>
    <row r="47" spans="1:33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</row>
    <row r="48" spans="1:33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</row>
    <row r="49" spans="1:3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</row>
    <row r="50" spans="1:3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</row>
    <row r="51" spans="1:33" ht="30">
      <c r="A51" s="7" t="s">
        <v>82</v>
      </c>
      <c r="B51" s="12">
        <f t="shared" ref="B51:I51" si="34">B44+B46+B47-B49</f>
        <v>-110.91637507904753</v>
      </c>
      <c r="C51" s="12">
        <f t="shared" si="34"/>
        <v>-107.41637507904753</v>
      </c>
      <c r="D51" s="12">
        <f t="shared" si="34"/>
        <v>-102.21637507904752</v>
      </c>
      <c r="E51" s="12">
        <f t="shared" si="34"/>
        <v>-116.89576244513053</v>
      </c>
      <c r="F51" s="12">
        <f t="shared" si="34"/>
        <v>-113.18576244513052</v>
      </c>
      <c r="G51" s="71">
        <f t="shared" si="34"/>
        <v>-112.09576244513053</v>
      </c>
      <c r="H51" s="71">
        <f t="shared" si="34"/>
        <v>-108.11576244513053</v>
      </c>
      <c r="I51" s="71">
        <f t="shared" si="34"/>
        <v>-102.08576244513053</v>
      </c>
      <c r="J51" s="12">
        <f t="shared" ref="J51:O51" si="35">J44+J46+J47-J49</f>
        <v>-110.11637507904753</v>
      </c>
      <c r="K51" s="12">
        <f t="shared" si="35"/>
        <v>-105.34637507904753</v>
      </c>
      <c r="L51" s="12">
        <f t="shared" si="35"/>
        <v>-99.216375079047523</v>
      </c>
      <c r="M51" s="12">
        <f t="shared" si="35"/>
        <v>-109.38556343835789</v>
      </c>
      <c r="N51" s="12">
        <f t="shared" si="35"/>
        <v>-104.84556343835789</v>
      </c>
      <c r="O51" s="12">
        <f t="shared" si="35"/>
        <v>-99.905563438357888</v>
      </c>
      <c r="P51" s="12">
        <f t="shared" ref="P51:U51" si="36">P44+P46+P47-P49</f>
        <v>-112.76576244513052</v>
      </c>
      <c r="Q51" s="12">
        <f t="shared" si="36"/>
        <v>-108.26576244513052</v>
      </c>
      <c r="R51" s="12">
        <f t="shared" si="36"/>
        <v>-103.06576244513053</v>
      </c>
      <c r="S51" s="8">
        <f t="shared" si="36"/>
        <v>-110.66576244513053</v>
      </c>
      <c r="T51" s="8">
        <f t="shared" si="36"/>
        <v>-108.16576244513053</v>
      </c>
      <c r="U51" s="8">
        <f t="shared" si="36"/>
        <v>-105.16576244513053</v>
      </c>
      <c r="V51" s="8">
        <f t="shared" ref="V51:AA51" si="37">V44+V46+V47-V49</f>
        <v>-110.15495080444089</v>
      </c>
      <c r="W51" s="8">
        <f t="shared" si="37"/>
        <v>-107.35495080444089</v>
      </c>
      <c r="X51" s="8">
        <f t="shared" si="37"/>
        <v>-103.65495080444089</v>
      </c>
      <c r="Y51" s="12">
        <f t="shared" si="37"/>
        <v>-110.37576244513052</v>
      </c>
      <c r="Z51" s="12">
        <f t="shared" si="37"/>
        <v>-105.83576244513053</v>
      </c>
      <c r="AA51" s="12">
        <f t="shared" si="37"/>
        <v>-100.15576244513052</v>
      </c>
      <c r="AB51" s="12">
        <f>AB44+AB46+AB47-AB49</f>
        <v>-105.40556343835789</v>
      </c>
      <c r="AC51" s="12">
        <f>AC44+AC46+AC47-AC49</f>
        <v>-102.20556343835788</v>
      </c>
      <c r="AD51" s="12"/>
      <c r="AE51" s="12">
        <f>AE44+AE46+AE47-AE49</f>
        <v>-103.21343830060447</v>
      </c>
      <c r="AF51" s="12">
        <f>AF44+AF46+AF47-AF49</f>
        <v>-99.723438300604457</v>
      </c>
      <c r="AG51" s="12">
        <f>AG44+AG46+AG47-AG49</f>
        <v>-95.433438300604465</v>
      </c>
    </row>
    <row r="52" spans="1:33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</row>
    <row r="53" spans="1:33" ht="30">
      <c r="A53" s="29" t="s">
        <v>85</v>
      </c>
      <c r="B53" s="22">
        <f t="shared" ref="B53:G53" si="38">B26+B30+B33-B34-B51</f>
        <v>162.27121254719665</v>
      </c>
      <c r="C53" s="22">
        <f t="shared" si="38"/>
        <v>155.77121254719665</v>
      </c>
      <c r="D53" s="22">
        <f t="shared" si="38"/>
        <v>150.57121254719664</v>
      </c>
      <c r="E53" s="22">
        <f t="shared" si="38"/>
        <v>157.66121254719664</v>
      </c>
      <c r="F53" s="22">
        <f t="shared" si="38"/>
        <v>150.95121254719663</v>
      </c>
      <c r="G53" s="76">
        <f t="shared" si="38"/>
        <v>162.20121254719666</v>
      </c>
      <c r="H53" s="76">
        <f t="shared" ref="H53:I53" si="39">H26+H30+H33-H34-H51</f>
        <v>155.22121254719664</v>
      </c>
      <c r="I53" s="76">
        <f t="shared" si="39"/>
        <v>149.19121254719664</v>
      </c>
      <c r="J53" s="22">
        <f>J26+J30+J33-J34-J51</f>
        <v>161.47121254719664</v>
      </c>
      <c r="K53" s="22">
        <f t="shared" ref="K53:L53" si="40">K26+K30+K33-K34-K51</f>
        <v>153.70121254719666</v>
      </c>
      <c r="L53" s="22">
        <f t="shared" si="40"/>
        <v>147.57121254719664</v>
      </c>
      <c r="M53" s="22">
        <f>M26+M30+M33-M34-M51</f>
        <v>157.14190068970606</v>
      </c>
      <c r="N53" s="22">
        <f t="shared" ref="N53:O53" si="41">N26+N30+N33-N34-N51</f>
        <v>149.60190068970607</v>
      </c>
      <c r="O53" s="22">
        <f t="shared" si="41"/>
        <v>144.66190068970607</v>
      </c>
      <c r="P53" s="22">
        <f>P26+P30+P33-P34-P51</f>
        <v>162.87121254719665</v>
      </c>
      <c r="Q53" s="22">
        <f t="shared" ref="Q53:R53" si="42">Q26+Q30+Q33-Q34-Q51</f>
        <v>155.37121254719665</v>
      </c>
      <c r="R53" s="22">
        <f t="shared" si="42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43">W26+W30+W33-W34-W51</f>
        <v>161.51040090650702</v>
      </c>
      <c r="X53" s="22">
        <f t="shared" si="43"/>
        <v>157.81040090650703</v>
      </c>
      <c r="Y53" s="22">
        <f>Y26+Y30+Y33-Y34-Y51</f>
        <v>160.48121254719663</v>
      </c>
      <c r="Z53" s="22">
        <f t="shared" ref="Z53:AA53" si="44">Z26+Z30+Z33-Z34-Z51</f>
        <v>152.94121254719664</v>
      </c>
      <c r="AA53" s="22">
        <f t="shared" si="44"/>
        <v>147.26121254719664</v>
      </c>
      <c r="AB53" s="22">
        <f>AB26+AB30+AB33-AB34-AB51</f>
        <v>160.76040090650702</v>
      </c>
      <c r="AC53" s="22">
        <f t="shared" ref="AC53" si="45">AC26+AC30+AC33-AC34-AC51</f>
        <v>154.560400906507</v>
      </c>
      <c r="AD53" s="22"/>
      <c r="AE53" s="22">
        <f>AE26+AE30+AE33-AE34-AE51</f>
        <v>161.10040090650702</v>
      </c>
      <c r="AF53" s="22">
        <f t="shared" ref="AF53:AG53" si="46">AF26+AF30+AF33-AF34-AF51</f>
        <v>154.61040090650701</v>
      </c>
      <c r="AG53" s="22">
        <f t="shared" si="46"/>
        <v>150.32040090650702</v>
      </c>
    </row>
    <row r="54" spans="1:33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</row>
    <row r="56" spans="1:33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</row>
    <row r="57" spans="1:33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</row>
    <row r="58" spans="1:33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</row>
    <row r="59" spans="1:33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</row>
    <row r="60" spans="1:33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</row>
    <row r="61" spans="1:33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</row>
    <row r="62" spans="1:33" ht="30">
      <c r="A62" s="29" t="s">
        <v>109</v>
      </c>
      <c r="B62" s="22">
        <f t="shared" ref="B62:G62" si="47">B53-B57+B58-B59+B60</f>
        <v>131.54121254719666</v>
      </c>
      <c r="C62" s="22">
        <f t="shared" si="47"/>
        <v>125.04121254719666</v>
      </c>
      <c r="D62" s="22">
        <f t="shared" si="47"/>
        <v>119.84121254719665</v>
      </c>
      <c r="E62" s="22">
        <f t="shared" si="47"/>
        <v>126.93121254719665</v>
      </c>
      <c r="F62" s="22">
        <f t="shared" si="47"/>
        <v>120.22121254719664</v>
      </c>
      <c r="G62" s="76">
        <f t="shared" si="47"/>
        <v>131.47121254719667</v>
      </c>
      <c r="H62" s="76">
        <f t="shared" ref="H62:I62" si="48">H53-H57+H58-H59+H60</f>
        <v>124.49121254719665</v>
      </c>
      <c r="I62" s="76">
        <f t="shared" si="48"/>
        <v>118.46121254719665</v>
      </c>
      <c r="J62" s="22">
        <f>J53-J57+J58-J59+J60</f>
        <v>130.74121254719665</v>
      </c>
      <c r="K62" s="22">
        <f t="shared" ref="K62:L62" si="49">K53-K57+K58-K59+K60</f>
        <v>122.97121254719667</v>
      </c>
      <c r="L62" s="22">
        <f t="shared" si="49"/>
        <v>116.84121254719665</v>
      </c>
      <c r="M62" s="22">
        <f>M53-M57+M58-M59+M60</f>
        <v>126.41190068970607</v>
      </c>
      <c r="N62" s="22">
        <f t="shared" ref="N62:O62" si="50">N53-N57+N58-N59+N60</f>
        <v>118.87190068970608</v>
      </c>
      <c r="O62" s="22">
        <f t="shared" si="50"/>
        <v>113.93190068970608</v>
      </c>
      <c r="P62" s="22">
        <f>P53-P57+P58-P59+P60</f>
        <v>132.14121254719666</v>
      </c>
      <c r="Q62" s="22">
        <f t="shared" ref="Q62:R62" si="51">Q53-Q57+Q58-Q59+Q60</f>
        <v>124.64121254719666</v>
      </c>
      <c r="R62" s="22">
        <f t="shared" si="51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52">W53-W57+W58-W59+W60</f>
        <v>130.78040090650703</v>
      </c>
      <c r="X62" s="22">
        <f t="shared" si="52"/>
        <v>127.08040090650704</v>
      </c>
      <c r="Y62" s="22">
        <f>Y53-Y57+Y58-Y59+Y60</f>
        <v>129.75121254719664</v>
      </c>
      <c r="Z62" s="22">
        <f t="shared" ref="Z62:AA62" si="53">Z53-Z57+Z58-Z59+Z60</f>
        <v>122.21121254719665</v>
      </c>
      <c r="AA62" s="22">
        <f t="shared" si="53"/>
        <v>116.53121254719665</v>
      </c>
      <c r="AB62" s="22">
        <f>AB53-AB57+AB58-AB59+AB60</f>
        <v>130.03040090650703</v>
      </c>
      <c r="AC62" s="22">
        <f t="shared" ref="AC62" si="54">AC53-AC57+AC58-AC59+AC60</f>
        <v>123.83040090650701</v>
      </c>
      <c r="AD62" s="22"/>
      <c r="AE62" s="22">
        <f>AE53-AE57+AE58-AE59+AE60</f>
        <v>133.37040090650703</v>
      </c>
      <c r="AF62" s="22">
        <f t="shared" ref="AF62:AG62" si="55">AF53-AF57+AF58-AF59+AF60</f>
        <v>126.88040090650702</v>
      </c>
      <c r="AG62" s="22">
        <f t="shared" si="55"/>
        <v>122.59040090650703</v>
      </c>
    </row>
    <row r="63" spans="1:33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</row>
    <row r="64" spans="1:33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</row>
    <row r="65" spans="1:33" ht="15">
      <c r="A65" s="29" t="s">
        <v>98</v>
      </c>
      <c r="B65" s="22">
        <f t="shared" ref="B65:I65" si="56">B17-B23-B51+B21+B33</f>
        <v>153.50000000000003</v>
      </c>
      <c r="C65" s="22">
        <f t="shared" si="56"/>
        <v>150.00000000000003</v>
      </c>
      <c r="D65" s="22">
        <f t="shared" si="56"/>
        <v>144.80000000000001</v>
      </c>
      <c r="E65" s="22">
        <f t="shared" si="56"/>
        <v>151.84000000000003</v>
      </c>
      <c r="F65" s="22">
        <f t="shared" si="56"/>
        <v>148.13000000000002</v>
      </c>
      <c r="G65" s="76">
        <f t="shared" si="56"/>
        <v>153.43000000000004</v>
      </c>
      <c r="H65" s="76">
        <f t="shared" si="56"/>
        <v>149.45000000000002</v>
      </c>
      <c r="I65" s="76">
        <f t="shared" si="56"/>
        <v>143.42000000000002</v>
      </c>
      <c r="J65" s="22">
        <f t="shared" ref="J65:O65" si="57">J17-J23-J51+J21+J33</f>
        <v>152.70000000000002</v>
      </c>
      <c r="K65" s="22">
        <f t="shared" si="57"/>
        <v>147.93000000000004</v>
      </c>
      <c r="L65" s="22">
        <f t="shared" si="57"/>
        <v>141.80000000000001</v>
      </c>
      <c r="M65" s="22">
        <f t="shared" si="57"/>
        <v>151.02068814250944</v>
      </c>
      <c r="N65" s="22">
        <f t="shared" si="57"/>
        <v>146.48068814250945</v>
      </c>
      <c r="O65" s="22">
        <f t="shared" si="57"/>
        <v>141.54068814250945</v>
      </c>
      <c r="P65" s="22">
        <f t="shared" ref="P65:U65" si="58">P17-P23-P51+P21+P33</f>
        <v>154.10000000000002</v>
      </c>
      <c r="Q65" s="22">
        <f t="shared" si="58"/>
        <v>149.60000000000002</v>
      </c>
      <c r="R65" s="22">
        <f t="shared" si="58"/>
        <v>144.40000000000003</v>
      </c>
      <c r="S65" s="22">
        <f t="shared" si="58"/>
        <v>154.00000000000003</v>
      </c>
      <c r="T65" s="22">
        <f t="shared" si="58"/>
        <v>151.50000000000003</v>
      </c>
      <c r="U65" s="22">
        <f t="shared" si="58"/>
        <v>148.50000000000003</v>
      </c>
      <c r="V65" s="22">
        <f t="shared" ref="V65:AA65" si="59">V17-V23-V51+V21+V33</f>
        <v>158.5391883593104</v>
      </c>
      <c r="W65" s="22">
        <f t="shared" si="59"/>
        <v>155.73918835931039</v>
      </c>
      <c r="X65" s="22">
        <f t="shared" si="59"/>
        <v>152.0391883593104</v>
      </c>
      <c r="Y65" s="22">
        <f t="shared" si="59"/>
        <v>151.71</v>
      </c>
      <c r="Z65" s="22">
        <f t="shared" si="59"/>
        <v>147.17000000000002</v>
      </c>
      <c r="AA65" s="22">
        <f t="shared" si="59"/>
        <v>141.49</v>
      </c>
      <c r="AB65" s="22">
        <f>AB17-AB23-AB51+AB21+AB33</f>
        <v>151.98918835931039</v>
      </c>
      <c r="AC65" s="22">
        <f>AC17-AC23-AC51+AC21+AC33</f>
        <v>148.78918835931037</v>
      </c>
      <c r="AD65" s="22"/>
      <c r="AE65" s="22">
        <f>AE17-AE23-AE51+AE21+AE33</f>
        <v>152.32918835931039</v>
      </c>
      <c r="AF65" s="22">
        <f>AF17-AF23-AF51+AF21+AF33</f>
        <v>148.83918835931038</v>
      </c>
      <c r="AG65" s="22">
        <f>AG17-AG23-AG51+AG21+AG33</f>
        <v>144.54918835931039</v>
      </c>
    </row>
  </sheetData>
  <mergeCells count="11">
    <mergeCell ref="AE1:AG1"/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55" zoomScaleNormal="55" workbookViewId="0">
      <pane xSplit="1" ySplit="1" topLeftCell="P26" activePane="bottomRight" state="frozen"/>
      <selection pane="topRight"/>
      <selection pane="bottomLeft"/>
      <selection pane="bottomRight" activeCell="AE1" sqref="AE1:AG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3.125" style="1" bestFit="1" customWidth="1"/>
    <col min="17" max="18" width="15.75" style="1" bestFit="1" customWidth="1"/>
    <col min="19" max="19" width="21.75" style="1" customWidth="1"/>
    <col min="20" max="20" width="18.625" style="1" customWidth="1"/>
    <col min="21" max="21" width="18.12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30" width="18.25" style="1" customWidth="1"/>
    <col min="31" max="31" width="15.625" style="2" customWidth="1"/>
    <col min="32" max="33" width="15.625" style="1" customWidth="1"/>
    <col min="34" max="16384" width="9" style="1"/>
  </cols>
  <sheetData>
    <row r="1" spans="1:33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121</v>
      </c>
      <c r="N1" s="90"/>
      <c r="O1" s="90"/>
      <c r="P1" s="90" t="s">
        <v>126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139</v>
      </c>
      <c r="AF1" s="90"/>
      <c r="AG1" s="90"/>
    </row>
    <row r="2" spans="1:33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</row>
    <row r="3" spans="1:33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</row>
    <row r="4" spans="1:3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</row>
    <row r="5" spans="1:3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</row>
    <row r="6" spans="1:33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</row>
    <row r="7" spans="1:33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</row>
    <row r="8" spans="1:33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</row>
    <row r="9" spans="1:3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</row>
    <row r="10" spans="1:3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</row>
    <row r="11" spans="1:33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</row>
    <row r="13" spans="1:33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</row>
    <row r="14" spans="1:33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</row>
    <row r="15" spans="1:33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</row>
    <row r="16" spans="1:33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>AE15+10*LOG10(AE4)</f>
        <v>53</v>
      </c>
      <c r="AF16" s="12">
        <f>AF15+10*LOG10(AF4)</f>
        <v>53</v>
      </c>
      <c r="AG16" s="12">
        <f>AG15+10*LOG10(AG4)</f>
        <v>53</v>
      </c>
    </row>
    <row r="17" spans="1:33" ht="30">
      <c r="A17" s="7" t="s">
        <v>35</v>
      </c>
      <c r="B17" s="12">
        <f t="shared" ref="B17:I17" si="4">B15+10*LOG10(B42/1000000)</f>
        <v>44.126050015345747</v>
      </c>
      <c r="C17" s="12">
        <f t="shared" si="4"/>
        <v>44.126050015345747</v>
      </c>
      <c r="D17" s="12">
        <f t="shared" si="4"/>
        <v>44.126050015345747</v>
      </c>
      <c r="E17" s="12">
        <f t="shared" si="4"/>
        <v>44.245042248342827</v>
      </c>
      <c r="F17" s="12">
        <f t="shared" si="4"/>
        <v>44.245042248342827</v>
      </c>
      <c r="G17" s="71">
        <f t="shared" si="4"/>
        <v>44.126050015345747</v>
      </c>
      <c r="H17" s="71">
        <f t="shared" si="4"/>
        <v>44.126050015345747</v>
      </c>
      <c r="I17" s="71">
        <f t="shared" si="4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5">M15+10*LOG10(M42/1000000)</f>
        <v>45.09515014542631</v>
      </c>
      <c r="N17" s="12">
        <f t="shared" si="5"/>
        <v>45.09515014542631</v>
      </c>
      <c r="O17" s="12">
        <f t="shared" si="5"/>
        <v>45.09515014542631</v>
      </c>
      <c r="P17" s="12">
        <f t="shared" ref="P17:U17" si="6">P15+10*LOG10(P42/1000000)</f>
        <v>44.126050015345747</v>
      </c>
      <c r="Q17" s="12">
        <f t="shared" si="6"/>
        <v>44.126050015345747</v>
      </c>
      <c r="R17" s="12">
        <f t="shared" si="6"/>
        <v>44.126050015345747</v>
      </c>
      <c r="S17" s="8">
        <f t="shared" si="6"/>
        <v>44.126050015345747</v>
      </c>
      <c r="T17" s="8">
        <f t="shared" si="6"/>
        <v>44.126050015345747</v>
      </c>
      <c r="U17" s="8">
        <f t="shared" si="6"/>
        <v>44.126050015345747</v>
      </c>
      <c r="V17" s="8">
        <f t="shared" ref="V17:AA17" si="7">V15+10*LOG10(V42/1000000)</f>
        <v>44.245042248342827</v>
      </c>
      <c r="W17" s="8">
        <f t="shared" si="7"/>
        <v>44.245042248342827</v>
      </c>
      <c r="X17" s="8">
        <f t="shared" si="7"/>
        <v>44.245042248342827</v>
      </c>
      <c r="Y17" s="12">
        <f t="shared" si="7"/>
        <v>44.126050015345747</v>
      </c>
      <c r="Z17" s="12">
        <f t="shared" si="7"/>
        <v>44.126050015345747</v>
      </c>
      <c r="AA17" s="12">
        <f t="shared" si="7"/>
        <v>44.126050015345747</v>
      </c>
      <c r="AB17" s="12">
        <f>AB15+10*LOG10(AB42/1000000)</f>
        <v>40.024305364455252</v>
      </c>
      <c r="AC17" s="12">
        <f>AC15+10*LOG10(AC42/1000000)</f>
        <v>40.024305364455252</v>
      </c>
      <c r="AD17" s="12"/>
      <c r="AE17" s="12">
        <f>AE15+10*LOG10(AE42/1000000)</f>
        <v>44.360860973840971</v>
      </c>
      <c r="AF17" s="12">
        <f>AF15+10*LOG10(AF42/1000000)</f>
        <v>44.360860973840971</v>
      </c>
      <c r="AG17" s="12">
        <f>AG15+10*LOG10(AG42/1000000)</f>
        <v>44.360860973840971</v>
      </c>
    </row>
    <row r="18" spans="1:33" ht="45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9">M19+10*LOG10(M12/M13)-M20</f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>AE19+10*LOG10(AE12/AE13)-AE20</f>
        <v>12.771212547196624</v>
      </c>
      <c r="AF18" s="12">
        <f>AF19+10*LOG10(AF12/AF13)-AF20</f>
        <v>12.771212547196624</v>
      </c>
      <c r="AG18" s="12">
        <f>AG19+10*LOG10(AG12/AG13)-AG20</f>
        <v>12.771212547196624</v>
      </c>
    </row>
    <row r="19" spans="1:33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</row>
    <row r="20" spans="1:33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</row>
    <row r="21" spans="1:33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</row>
    <row r="22" spans="1:33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</row>
    <row r="23" spans="1:33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</row>
    <row r="24" spans="1:33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</row>
    <row r="25" spans="1:33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</row>
    <row r="26" spans="1:33" ht="15">
      <c r="A26" s="7" t="s">
        <v>51</v>
      </c>
      <c r="B26" s="12">
        <f t="shared" ref="B26:I26" si="13">B17+B18+B21-B23-B24</f>
        <v>61.89726256254238</v>
      </c>
      <c r="C26" s="12">
        <f t="shared" si="13"/>
        <v>61.89726256254238</v>
      </c>
      <c r="D26" s="12">
        <f t="shared" si="13"/>
        <v>61.89726256254238</v>
      </c>
      <c r="E26" s="12">
        <f t="shared" si="13"/>
        <v>52.67625479553945</v>
      </c>
      <c r="F26" s="12">
        <f t="shared" si="13"/>
        <v>52.67625479553945</v>
      </c>
      <c r="G26" s="71">
        <f t="shared" si="13"/>
        <v>61.89726256254238</v>
      </c>
      <c r="H26" s="71">
        <f t="shared" si="13"/>
        <v>61.89726256254238</v>
      </c>
      <c r="I26" s="71">
        <f t="shared" si="13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14">M17+M18+M21-M23-M24</f>
        <v>59.267862475822</v>
      </c>
      <c r="N26" s="12">
        <f t="shared" si="14"/>
        <v>59.267862475822</v>
      </c>
      <c r="O26" s="12">
        <f t="shared" si="14"/>
        <v>59.267862475822</v>
      </c>
      <c r="P26" s="12">
        <f t="shared" ref="P26:U26" si="15">P17+P18+P21-P23-P24</f>
        <v>61.89726256254238</v>
      </c>
      <c r="Q26" s="12">
        <f t="shared" si="15"/>
        <v>61.89726256254238</v>
      </c>
      <c r="R26" s="12">
        <f t="shared" si="15"/>
        <v>61.89726256254238</v>
      </c>
      <c r="S26" s="8">
        <f t="shared" si="15"/>
        <v>63.89726256254238</v>
      </c>
      <c r="T26" s="8">
        <f t="shared" si="15"/>
        <v>63.89726256254238</v>
      </c>
      <c r="U26" s="8">
        <f t="shared" si="15"/>
        <v>63.89726256254238</v>
      </c>
      <c r="V26" s="8">
        <f t="shared" ref="V26:AA26" si="16">V17+V18+V21-V23-V24</f>
        <v>69.06625479553945</v>
      </c>
      <c r="W26" s="8">
        <f t="shared" si="16"/>
        <v>69.06625479553945</v>
      </c>
      <c r="X26" s="8">
        <f t="shared" si="16"/>
        <v>69.06625479553945</v>
      </c>
      <c r="Y26" s="12">
        <f t="shared" si="16"/>
        <v>61.89726256254238</v>
      </c>
      <c r="Z26" s="12">
        <f t="shared" si="16"/>
        <v>61.89726256254238</v>
      </c>
      <c r="AA26" s="12">
        <f t="shared" si="16"/>
        <v>61.89726256254238</v>
      </c>
      <c r="AB26" s="12">
        <f>AB17+AB18+AB21-AB23-AB24</f>
        <v>61.795517911651871</v>
      </c>
      <c r="AC26" s="12">
        <f>AC17+AC18+AC21-AC23-AC24</f>
        <v>61.795517911651871</v>
      </c>
      <c r="AD26" s="12"/>
      <c r="AE26" s="12">
        <f>AE17+AE18+AE21-AE23-AE24</f>
        <v>62.132073521037597</v>
      </c>
      <c r="AF26" s="12">
        <f>AF17+AF18+AF21-AF23-AF24</f>
        <v>62.132073521037597</v>
      </c>
      <c r="AG26" s="12">
        <f>AG17+AG18+AG21-AG23-AG24</f>
        <v>62.132073521037597</v>
      </c>
    </row>
    <row r="27" spans="1:33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</row>
    <row r="29" spans="1:33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</row>
    <row r="30" spans="1:33" ht="45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8">M31+10*LOG10(M28/M29)-M32</f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>AE31+10*LOG10(AE28/AE29)-AE32</f>
        <v>0</v>
      </c>
      <c r="AF30" s="12">
        <f>AF31+10*LOG10(AF28/AF29)-AF32</f>
        <v>-3</v>
      </c>
      <c r="AG30" s="12">
        <f>AG31+10*LOG10(AG28/AG29)-AG32</f>
        <v>-3</v>
      </c>
    </row>
    <row r="31" spans="1:33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</row>
    <row r="32" spans="1:33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</row>
    <row r="33" spans="1:33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</row>
    <row r="34" spans="1:33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</row>
    <row r="35" spans="1:33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</row>
    <row r="36" spans="1:3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</row>
    <row r="37" spans="1:33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</row>
    <row r="38" spans="1:33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</row>
    <row r="39" spans="1:33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</row>
    <row r="40" spans="1:33" ht="30">
      <c r="A40" s="7" t="s">
        <v>107</v>
      </c>
      <c r="B40" s="12">
        <f t="shared" ref="B40:I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>
        <f t="shared" si="21"/>
        <v>-167.00000000000003</v>
      </c>
      <c r="G40" s="71">
        <f t="shared" si="21"/>
        <v>-167.00000000000003</v>
      </c>
      <c r="H40" s="71">
        <f t="shared" si="21"/>
        <v>-167.00000000000003</v>
      </c>
      <c r="I40" s="71">
        <f t="shared" si="21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22">10*LOG10(10^((M35+M36)/10)+10^(M38/10))</f>
        <v>-164.98918835931039</v>
      </c>
      <c r="N40" s="12">
        <f t="shared" si="22"/>
        <v>-164.98918835931039</v>
      </c>
      <c r="O40" s="12">
        <f t="shared" si="22"/>
        <v>-164.98918835931039</v>
      </c>
      <c r="P40" s="12">
        <f t="shared" ref="P40:U40" si="23">10*LOG10(10^((P35+P36)/10)+10^(P38/10))</f>
        <v>-167.00000000000003</v>
      </c>
      <c r="Q40" s="12">
        <f t="shared" si="23"/>
        <v>-167.00000000000003</v>
      </c>
      <c r="R40" s="12">
        <f t="shared" si="23"/>
        <v>-167.00000000000003</v>
      </c>
      <c r="S40" s="8">
        <f t="shared" si="23"/>
        <v>-167.00000000000003</v>
      </c>
      <c r="T40" s="8">
        <f t="shared" si="23"/>
        <v>-167.00000000000003</v>
      </c>
      <c r="U40" s="8">
        <f t="shared" si="23"/>
        <v>-167.00000000000003</v>
      </c>
      <c r="V40" s="8">
        <f t="shared" ref="V40:AA40" si="24">10*LOG10(10^((V35+V36)/10)+10^(V38/10))</f>
        <v>-164.98918835931039</v>
      </c>
      <c r="W40" s="8">
        <f t="shared" si="24"/>
        <v>-164.98918835931039</v>
      </c>
      <c r="X40" s="8">
        <f t="shared" si="24"/>
        <v>-164.98918835931039</v>
      </c>
      <c r="Y40" s="12">
        <f t="shared" si="24"/>
        <v>-167.00000000000003</v>
      </c>
      <c r="Z40" s="12">
        <f t="shared" si="24"/>
        <v>-167.00000000000003</v>
      </c>
      <c r="AA40" s="12">
        <f t="shared" si="2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>10*LOG10(10^((AE35+AE36)/10)+10^(AE38/10))</f>
        <v>-164.98918835931039</v>
      </c>
      <c r="AF40" s="12">
        <f>10*LOG10(10^((AF35+AF36)/10)+10^(AF38/10))</f>
        <v>-164.98918835931039</v>
      </c>
      <c r="AG40" s="12">
        <f>10*LOG10(10^((AG35+AG36)/10)+10^(AG38/10))</f>
        <v>-164.98918835931039</v>
      </c>
    </row>
    <row r="41" spans="1:33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</row>
    <row r="42" spans="1:33" ht="15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25">36*360*1000</f>
        <v>12960000</v>
      </c>
      <c r="I42" s="74">
        <f t="shared" si="25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26">45*360*1000</f>
        <v>16200000</v>
      </c>
      <c r="O42" s="16">
        <f t="shared" si="26"/>
        <v>16200000</v>
      </c>
      <c r="P42" s="16">
        <f>36*360*1000</f>
        <v>12960000</v>
      </c>
      <c r="Q42" s="16">
        <f t="shared" ref="Q42:R42" si="27">36*360*1000</f>
        <v>12960000</v>
      </c>
      <c r="R42" s="16">
        <f t="shared" si="27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28">37*360*1000</f>
        <v>13320000</v>
      </c>
      <c r="X42" s="16">
        <f t="shared" si="28"/>
        <v>13320000</v>
      </c>
      <c r="Y42" s="16">
        <f>36*360*1000</f>
        <v>12960000</v>
      </c>
      <c r="Z42" s="16">
        <f t="shared" ref="Z42:AA42" si="29">36*360*1000</f>
        <v>12960000</v>
      </c>
      <c r="AA42" s="16">
        <f t="shared" si="29"/>
        <v>12960000</v>
      </c>
      <c r="AB42" s="16">
        <f>14*360*1000</f>
        <v>5040000</v>
      </c>
      <c r="AC42" s="16">
        <f>14*360*1000</f>
        <v>5040000</v>
      </c>
      <c r="AD42" s="16"/>
      <c r="AE42" s="16">
        <f>38*360*1000</f>
        <v>13680000</v>
      </c>
      <c r="AF42" s="16">
        <f t="shared" ref="AF42:AG42" si="30">38*360*1000</f>
        <v>13680000</v>
      </c>
      <c r="AG42" s="16">
        <f t="shared" si="30"/>
        <v>13680000</v>
      </c>
    </row>
    <row r="43" spans="1:33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</row>
    <row r="44" spans="1:33" ht="15">
      <c r="A44" s="7" t="s">
        <v>72</v>
      </c>
      <c r="B44" s="12">
        <f t="shared" ref="B44:I44" si="31">B40+10*LOG10(B42)</f>
        <v>-95.873949984654288</v>
      </c>
      <c r="C44" s="12">
        <f t="shared" si="31"/>
        <v>-95.873949984654288</v>
      </c>
      <c r="D44" s="12">
        <f t="shared" si="31"/>
        <v>-95.873949984654288</v>
      </c>
      <c r="E44" s="12">
        <f t="shared" si="31"/>
        <v>-95.754957751657201</v>
      </c>
      <c r="F44" s="12">
        <f t="shared" si="31"/>
        <v>-95.754957751657201</v>
      </c>
      <c r="G44" s="71">
        <f t="shared" si="31"/>
        <v>-95.873949984654288</v>
      </c>
      <c r="H44" s="71">
        <f t="shared" si="31"/>
        <v>-95.873949984654288</v>
      </c>
      <c r="I44" s="71">
        <f t="shared" si="31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32">M40+10*LOG10(M42)</f>
        <v>-92.894038213884087</v>
      </c>
      <c r="N44" s="12">
        <f t="shared" si="32"/>
        <v>-92.894038213884087</v>
      </c>
      <c r="O44" s="12">
        <f t="shared" si="32"/>
        <v>-92.894038213884087</v>
      </c>
      <c r="P44" s="12">
        <f t="shared" ref="P44:U44" si="33">P40+10*LOG10(P42)</f>
        <v>-95.873949984654288</v>
      </c>
      <c r="Q44" s="12">
        <f t="shared" si="33"/>
        <v>-95.873949984654288</v>
      </c>
      <c r="R44" s="12">
        <f t="shared" si="33"/>
        <v>-95.873949984654288</v>
      </c>
      <c r="S44" s="8">
        <f t="shared" si="33"/>
        <v>-95.873949984654288</v>
      </c>
      <c r="T44" s="8">
        <f t="shared" si="33"/>
        <v>-95.873949984654288</v>
      </c>
      <c r="U44" s="8">
        <f t="shared" si="33"/>
        <v>-95.873949984654288</v>
      </c>
      <c r="V44" s="8">
        <f t="shared" ref="V44:AA44" si="34">V40+10*LOG10(V42)</f>
        <v>-93.744146110967563</v>
      </c>
      <c r="W44" s="8">
        <f t="shared" si="34"/>
        <v>-93.744146110967563</v>
      </c>
      <c r="X44" s="8">
        <f t="shared" si="34"/>
        <v>-93.744146110967563</v>
      </c>
      <c r="Y44" s="12">
        <f t="shared" si="34"/>
        <v>-95.873949984654288</v>
      </c>
      <c r="Z44" s="12">
        <f t="shared" si="34"/>
        <v>-95.873949984654288</v>
      </c>
      <c r="AA44" s="12">
        <f t="shared" si="34"/>
        <v>-95.873949984654288</v>
      </c>
      <c r="AB44" s="12">
        <f>AB40+10*LOG10(AB42)</f>
        <v>-97.964882994855145</v>
      </c>
      <c r="AC44" s="12">
        <f>AC40+10*LOG10(AC42)</f>
        <v>-97.964882994855145</v>
      </c>
      <c r="AD44" s="12"/>
      <c r="AE44" s="12">
        <f>AE40+10*LOG10(AE42)</f>
        <v>-93.628327385469419</v>
      </c>
      <c r="AF44" s="12">
        <f>AF40+10*LOG10(AF42)</f>
        <v>-93.628327385469419</v>
      </c>
      <c r="AG44" s="12">
        <f>AG40+10*LOG10(AG42)</f>
        <v>-93.628327385469419</v>
      </c>
    </row>
    <row r="45" spans="1:33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</row>
    <row r="46" spans="1:33" ht="15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  <c r="Y46" s="16">
        <v>-7.82</v>
      </c>
      <c r="Z46" s="16">
        <v>-4.2300000000000004</v>
      </c>
      <c r="AA46" s="16">
        <v>-0.11</v>
      </c>
      <c r="AB46" s="16">
        <v>-6.6</v>
      </c>
      <c r="AC46" s="16">
        <v>-3.6</v>
      </c>
      <c r="AD46" s="16"/>
      <c r="AE46" s="16">
        <v>-8.1300000000000008</v>
      </c>
      <c r="AF46" s="16">
        <v>-4.82</v>
      </c>
      <c r="AG46" s="16">
        <v>-0.94</v>
      </c>
    </row>
    <row r="47" spans="1:33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</row>
    <row r="48" spans="1:33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</row>
    <row r="49" spans="1:3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</row>
    <row r="50" spans="1:3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</row>
    <row r="51" spans="1:33" ht="30">
      <c r="A51" s="7" t="s">
        <v>82</v>
      </c>
      <c r="B51" s="12">
        <f t="shared" ref="B51:I51" si="35">B44+B46+B47-B49</f>
        <v>-101.47394998465428</v>
      </c>
      <c r="C51" s="12">
        <f t="shared" si="35"/>
        <v>-98.773949984654294</v>
      </c>
      <c r="D51" s="12">
        <f t="shared" si="35"/>
        <v>-95.273949984654294</v>
      </c>
      <c r="E51" s="12">
        <f t="shared" si="35"/>
        <v>-106.29495775165719</v>
      </c>
      <c r="F51" s="12">
        <f t="shared" si="35"/>
        <v>-102.73495775165721</v>
      </c>
      <c r="G51" s="71">
        <f t="shared" si="35"/>
        <v>-104.34394998465429</v>
      </c>
      <c r="H51" s="71">
        <f t="shared" si="35"/>
        <v>-101.05394998465428</v>
      </c>
      <c r="I51" s="71">
        <f t="shared" si="35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36">M44+M46+M47-M49</f>
        <v>-100.37403821388409</v>
      </c>
      <c r="N51" s="12">
        <f t="shared" si="36"/>
        <v>-96.164038213884083</v>
      </c>
      <c r="O51" s="12">
        <f t="shared" si="36"/>
        <v>-91.504038213884087</v>
      </c>
      <c r="P51" s="12">
        <f t="shared" ref="P51:U51" si="37">P44+P46+P47-P49</f>
        <v>-104.37394998465429</v>
      </c>
      <c r="Q51" s="12">
        <f t="shared" si="37"/>
        <v>-100.47394998465428</v>
      </c>
      <c r="R51" s="12">
        <f t="shared" si="37"/>
        <v>-96.473949984654283</v>
      </c>
      <c r="S51" s="8">
        <f t="shared" si="37"/>
        <v>-100.27394998465429</v>
      </c>
      <c r="T51" s="8">
        <f t="shared" si="37"/>
        <v>-98.173949984654286</v>
      </c>
      <c r="U51" s="8">
        <f t="shared" si="37"/>
        <v>-94.973949984654283</v>
      </c>
      <c r="V51" s="8">
        <f t="shared" ref="V51:AA51" si="38">V44+V46+V47-V49</f>
        <v>-97.744146110967563</v>
      </c>
      <c r="W51" s="8">
        <f t="shared" si="38"/>
        <v>-95.244146110967563</v>
      </c>
      <c r="X51" s="8">
        <f t="shared" si="38"/>
        <v>-91.444146110967566</v>
      </c>
      <c r="Y51" s="12">
        <f t="shared" si="38"/>
        <v>-101.6939499846543</v>
      </c>
      <c r="Z51" s="12">
        <f t="shared" si="38"/>
        <v>-98.103949984654292</v>
      </c>
      <c r="AA51" s="12">
        <f t="shared" si="38"/>
        <v>-93.983949984654288</v>
      </c>
      <c r="AB51" s="12">
        <f>AB44+AB46+AB47-AB49</f>
        <v>-102.56488299485514</v>
      </c>
      <c r="AC51" s="12">
        <f>AC44+AC46+AC47-AC49</f>
        <v>-99.564882994855139</v>
      </c>
      <c r="AD51" s="12"/>
      <c r="AE51" s="12">
        <f>AE44+AE46+AE47-AE49</f>
        <v>-99.758327385469414</v>
      </c>
      <c r="AF51" s="12">
        <f>AF44+AF46+AF47-AF49</f>
        <v>-96.448327385469412</v>
      </c>
      <c r="AG51" s="12">
        <f>AG44+AG46+AG47-AG49</f>
        <v>-92.568327385469416</v>
      </c>
    </row>
    <row r="52" spans="1:33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</row>
    <row r="53" spans="1:33" ht="30">
      <c r="A53" s="29" t="s">
        <v>85</v>
      </c>
      <c r="B53" s="22">
        <f t="shared" ref="B53:G53" si="39">B26+B30+B33-B34-B51</f>
        <v>162.37121254719665</v>
      </c>
      <c r="C53" s="22">
        <f t="shared" si="39"/>
        <v>156.67121254719666</v>
      </c>
      <c r="D53" s="22">
        <f t="shared" si="39"/>
        <v>153.17121254719666</v>
      </c>
      <c r="E53" s="22">
        <f t="shared" si="39"/>
        <v>157.97121254719664</v>
      </c>
      <c r="F53" s="22">
        <f t="shared" si="39"/>
        <v>151.41121254719667</v>
      </c>
      <c r="G53" s="76">
        <f t="shared" si="39"/>
        <v>165.24121254719665</v>
      </c>
      <c r="H53" s="76">
        <f t="shared" ref="H53:I53" si="40">H26+H30+H33-H34-H51</f>
        <v>158.95121254719666</v>
      </c>
      <c r="I53" s="76">
        <f t="shared" si="40"/>
        <v>155.05121254719666</v>
      </c>
      <c r="J53" s="22">
        <f>J26+J30+J33-J34-J51</f>
        <v>163.77121254719668</v>
      </c>
      <c r="K53" s="22">
        <f t="shared" ref="K53:O53" si="41">K26+K30+K33-K34-K51</f>
        <v>157.37121254719665</v>
      </c>
      <c r="L53" s="22">
        <f t="shared" si="41"/>
        <v>153.97121254719667</v>
      </c>
      <c r="M53" s="22">
        <f t="shared" si="41"/>
        <v>158.64190068970609</v>
      </c>
      <c r="N53" s="22">
        <f t="shared" si="41"/>
        <v>151.43190068970608</v>
      </c>
      <c r="O53" s="22">
        <f t="shared" si="41"/>
        <v>146.77190068970609</v>
      </c>
      <c r="P53" s="22">
        <f>P26+P30+P33-P34-P51</f>
        <v>165.27121254719668</v>
      </c>
      <c r="Q53" s="22">
        <f t="shared" ref="Q53:R53" si="42">Q26+Q30+Q33-Q34-Q51</f>
        <v>158.37121254719665</v>
      </c>
      <c r="R53" s="22">
        <f t="shared" si="42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43">W26+W30+W33-W34-W51</f>
        <v>160.31040090650703</v>
      </c>
      <c r="X53" s="22">
        <f t="shared" si="43"/>
        <v>156.51040090650702</v>
      </c>
      <c r="Y53" s="22">
        <f>Y26+Y30+Y33-Y34-Y51</f>
        <v>162.59121254719668</v>
      </c>
      <c r="Z53" s="22">
        <f t="shared" ref="Z53:AA53" si="44">Z26+Z30+Z33-Z34-Z51</f>
        <v>156.00121254719667</v>
      </c>
      <c r="AA53" s="22">
        <f t="shared" si="44"/>
        <v>151.88121254719667</v>
      </c>
      <c r="AB53" s="22">
        <f>AB26+AB30+AB33-AB34-AB51</f>
        <v>163.36040090650701</v>
      </c>
      <c r="AC53" s="22">
        <f t="shared" ref="AC53" si="45">AC26+AC30+AC33-AC34-AC51</f>
        <v>157.36040090650701</v>
      </c>
      <c r="AD53" s="22"/>
      <c r="AE53" s="22">
        <f>AE26+AE30+AE33-AE34-AE51</f>
        <v>160.89040090650701</v>
      </c>
      <c r="AF53" s="22">
        <f t="shared" ref="AF53:AG53" si="46">AF26+AF30+AF33-AF34-AF51</f>
        <v>154.58040090650701</v>
      </c>
      <c r="AG53" s="22">
        <f t="shared" si="46"/>
        <v>150.70040090650701</v>
      </c>
    </row>
    <row r="54" spans="1:33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</row>
    <row r="56" spans="1:33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</row>
    <row r="57" spans="1:33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</row>
    <row r="58" spans="1:33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</row>
    <row r="59" spans="1:33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</row>
    <row r="60" spans="1:33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</row>
    <row r="61" spans="1:33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</row>
    <row r="62" spans="1:33" ht="30">
      <c r="A62" s="29" t="s">
        <v>109</v>
      </c>
      <c r="B62" s="22">
        <f t="shared" ref="B62:G62" si="47">B53-B57+B58-B59+B60</f>
        <v>131.64121254719666</v>
      </c>
      <c r="C62" s="22">
        <f t="shared" si="47"/>
        <v>125.94121254719667</v>
      </c>
      <c r="D62" s="22">
        <f t="shared" si="47"/>
        <v>122.44121254719667</v>
      </c>
      <c r="E62" s="22">
        <f t="shared" si="47"/>
        <v>127.24121254719665</v>
      </c>
      <c r="F62" s="22">
        <f t="shared" si="47"/>
        <v>120.68121254719668</v>
      </c>
      <c r="G62" s="76">
        <f t="shared" si="47"/>
        <v>134.51121254719666</v>
      </c>
      <c r="H62" s="76">
        <f t="shared" ref="H62:I62" si="48">H53-H57+H58-H59+H60</f>
        <v>128.22121254719667</v>
      </c>
      <c r="I62" s="76">
        <f t="shared" si="48"/>
        <v>124.32121254719667</v>
      </c>
      <c r="J62" s="22">
        <f>J53-J57+J58-J59+J60</f>
        <v>133.04121254719669</v>
      </c>
      <c r="K62" s="22">
        <f t="shared" ref="K62:O62" si="49">K53-K57+K58-K59+K60</f>
        <v>126.64121254719666</v>
      </c>
      <c r="L62" s="22">
        <f t="shared" si="49"/>
        <v>123.24121254719668</v>
      </c>
      <c r="M62" s="22">
        <f t="shared" si="49"/>
        <v>127.9119006897061</v>
      </c>
      <c r="N62" s="22">
        <f t="shared" si="49"/>
        <v>120.70190068970609</v>
      </c>
      <c r="O62" s="22">
        <f t="shared" si="49"/>
        <v>116.0419006897061</v>
      </c>
      <c r="P62" s="22">
        <f>P53-P57+P58-P59+P60</f>
        <v>134.54121254719669</v>
      </c>
      <c r="Q62" s="22">
        <f t="shared" ref="Q62:R62" si="50">Q53-Q57+Q58-Q59+Q60</f>
        <v>127.64121254719666</v>
      </c>
      <c r="R62" s="22">
        <f t="shared" si="50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51">W53-W57+W58-W59+W60</f>
        <v>129.58040090650704</v>
      </c>
      <c r="X62" s="22">
        <f t="shared" si="51"/>
        <v>125.78040090650703</v>
      </c>
      <c r="Y62" s="22">
        <f>Y53-Y57+Y58-Y59+Y60</f>
        <v>131.86121254719669</v>
      </c>
      <c r="Z62" s="22">
        <f t="shared" ref="Z62:AA62" si="52">Z53-Z57+Z58-Z59+Z60</f>
        <v>125.27121254719668</v>
      </c>
      <c r="AA62" s="22">
        <f t="shared" si="52"/>
        <v>121.15121254719668</v>
      </c>
      <c r="AB62" s="22">
        <f>AB53-AB57+AB58-AB59+AB60</f>
        <v>132.63040090650702</v>
      </c>
      <c r="AC62" s="22">
        <f t="shared" ref="AC62" si="53">AC53-AC57+AC58-AC59+AC60</f>
        <v>126.63040090650702</v>
      </c>
      <c r="AD62" s="22"/>
      <c r="AE62" s="22">
        <f>AE53-AE57+AE58-AE59+AE60</f>
        <v>133.16040090650702</v>
      </c>
      <c r="AF62" s="22">
        <f t="shared" ref="AF62:AG62" si="54">AF53-AF57+AF58-AF59+AF60</f>
        <v>126.85040090650702</v>
      </c>
      <c r="AG62" s="22">
        <f t="shared" si="54"/>
        <v>122.97040090650702</v>
      </c>
    </row>
    <row r="63" spans="1:33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</row>
    <row r="64" spans="1:33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</row>
    <row r="65" spans="1:33" ht="15">
      <c r="A65" s="29" t="s">
        <v>98</v>
      </c>
      <c r="B65" s="22">
        <f t="shared" ref="B65:I65" si="55">B17-B23-B51+B21+B33</f>
        <v>153.60000000000002</v>
      </c>
      <c r="C65" s="22">
        <f t="shared" si="55"/>
        <v>150.90000000000003</v>
      </c>
      <c r="D65" s="22">
        <f t="shared" si="55"/>
        <v>147.40000000000003</v>
      </c>
      <c r="E65" s="22">
        <f t="shared" si="55"/>
        <v>152.15000000000003</v>
      </c>
      <c r="F65" s="22">
        <f t="shared" si="55"/>
        <v>148.59000000000003</v>
      </c>
      <c r="G65" s="76">
        <f t="shared" si="55"/>
        <v>156.47000000000003</v>
      </c>
      <c r="H65" s="76">
        <f t="shared" si="55"/>
        <v>153.18000000000004</v>
      </c>
      <c r="I65" s="76">
        <f t="shared" si="55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56">M17-M23-M51+M21+M33</f>
        <v>152.52068814250947</v>
      </c>
      <c r="N65" s="22">
        <f t="shared" si="56"/>
        <v>148.31068814250946</v>
      </c>
      <c r="O65" s="22">
        <f t="shared" si="56"/>
        <v>143.65068814250947</v>
      </c>
      <c r="P65" s="22">
        <f t="shared" ref="P65:U65" si="57">P17-P23-P51+P21+P33</f>
        <v>156.50000000000003</v>
      </c>
      <c r="Q65" s="22">
        <f t="shared" si="57"/>
        <v>152.60000000000002</v>
      </c>
      <c r="R65" s="22">
        <f t="shared" si="57"/>
        <v>148.60000000000002</v>
      </c>
      <c r="S65" s="22">
        <f t="shared" si="57"/>
        <v>154.40000000000003</v>
      </c>
      <c r="T65" s="22">
        <f t="shared" si="57"/>
        <v>152.30000000000004</v>
      </c>
      <c r="U65" s="22">
        <f t="shared" si="57"/>
        <v>149.10000000000002</v>
      </c>
      <c r="V65" s="22">
        <f t="shared" ref="V65:AA65" si="58">V17-V23-V51+V21+V33</f>
        <v>157.0391883593104</v>
      </c>
      <c r="W65" s="22">
        <f t="shared" si="58"/>
        <v>154.5391883593104</v>
      </c>
      <c r="X65" s="22">
        <f t="shared" si="58"/>
        <v>150.73918835931039</v>
      </c>
      <c r="Y65" s="22">
        <f t="shared" si="58"/>
        <v>153.82000000000005</v>
      </c>
      <c r="Z65" s="22">
        <f t="shared" si="58"/>
        <v>150.23000000000005</v>
      </c>
      <c r="AA65" s="22">
        <f t="shared" si="58"/>
        <v>146.11000000000004</v>
      </c>
      <c r="AB65" s="22">
        <f>AB17-AB23-AB51+AB21+AB33</f>
        <v>154.58918835931038</v>
      </c>
      <c r="AC65" s="22">
        <f>AC17-AC23-AC51+AC21+AC33</f>
        <v>151.58918835931038</v>
      </c>
      <c r="AD65" s="22"/>
      <c r="AE65" s="22">
        <f>AE17-AE23-AE51+AE21+AE33</f>
        <v>152.11918835931039</v>
      </c>
      <c r="AF65" s="22">
        <f>AF17-AF23-AF51+AF21+AF33</f>
        <v>148.80918835931038</v>
      </c>
      <c r="AG65" s="22">
        <f>AG17-AG23-AG51+AG21+AG33</f>
        <v>144.92918835931039</v>
      </c>
    </row>
  </sheetData>
  <mergeCells count="11">
    <mergeCell ref="AE1:AG1"/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zoomScale="55" zoomScaleNormal="55" workbookViewId="0">
      <pane xSplit="1" ySplit="1" topLeftCell="H14" activePane="bottomRight" state="frozen"/>
      <selection pane="topRight"/>
      <selection pane="bottomLeft"/>
      <selection pane="bottomRight" activeCell="V1" sqref="V1:W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20.25" style="1" customWidth="1"/>
    <col min="15" max="15" width="19.7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1" width="18.5" style="1" customWidth="1"/>
    <col min="22" max="22" width="15.625" style="2" customWidth="1"/>
    <col min="23" max="23" width="15.625" style="1" customWidth="1"/>
    <col min="24" max="16384" width="9" style="1"/>
  </cols>
  <sheetData>
    <row r="1" spans="1:23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139</v>
      </c>
      <c r="W1" s="90"/>
    </row>
    <row r="2" spans="1:2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</row>
    <row r="3" spans="1:23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</row>
    <row r="4" spans="1:2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</row>
    <row r="5" spans="1:2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</row>
    <row r="6" spans="1:23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</row>
    <row r="7" spans="1:23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</row>
    <row r="8" spans="1:23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</row>
    <row r="9" spans="1:2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</row>
    <row r="10" spans="1:2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</row>
    <row r="11" spans="1:2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</row>
    <row r="13" spans="1:23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</row>
    <row r="14" spans="1:23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</row>
    <row r="15" spans="1:23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</row>
    <row r="16" spans="1:23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</row>
    <row r="17" spans="1:23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</row>
    <row r="18" spans="1:23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>R19+10*LOG10(R12/R14)-R20</f>
        <v>0</v>
      </c>
      <c r="S18" s="12">
        <f>S19+10*LOG10(S12/S14)-S20</f>
        <v>-3</v>
      </c>
      <c r="T18" s="12">
        <f>T19+10*LOG10(T12/T14)-T20</f>
        <v>0</v>
      </c>
      <c r="U18" s="12">
        <f>U19+10*LOG10(U12/U14)-U20</f>
        <v>-3</v>
      </c>
      <c r="V18" s="12">
        <f>V19+10*LOG10(V12/V14)-V20</f>
        <v>0</v>
      </c>
      <c r="W18" s="12">
        <f>W19+10*LOG10(W12/W14)-W20</f>
        <v>-3</v>
      </c>
    </row>
    <row r="19" spans="1:23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</row>
    <row r="20" spans="1:23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</row>
    <row r="21" spans="1:2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</row>
    <row r="22" spans="1:2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</row>
    <row r="25" spans="1:23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</row>
    <row r="26" spans="1:23" ht="15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68">
        <f t="shared" si="3"/>
        <v>22</v>
      </c>
      <c r="G26" s="68">
        <f t="shared" si="3"/>
        <v>19</v>
      </c>
      <c r="H26" s="8">
        <f>H17+H18+H21-H23-H24</f>
        <v>22</v>
      </c>
      <c r="I26" s="8">
        <f>I17+I18+I21-I23-I24</f>
        <v>19</v>
      </c>
      <c r="J26" s="8">
        <f t="shared" ref="J26:K26" si="4">J17+J18+J21-J23-J24</f>
        <v>22</v>
      </c>
      <c r="K26" s="8">
        <f t="shared" si="4"/>
        <v>19</v>
      </c>
      <c r="L26" s="8">
        <f t="shared" ref="L26:Q26" si="5">L17+L18+L21-L23-L24</f>
        <v>22</v>
      </c>
      <c r="M26" s="8">
        <f t="shared" si="5"/>
        <v>19</v>
      </c>
      <c r="N26" s="8">
        <f t="shared" si="5"/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>R17+R18+R21-R23-R24</f>
        <v>22</v>
      </c>
      <c r="S26" s="8">
        <f>S17+S18+S21-S23-S24</f>
        <v>19</v>
      </c>
      <c r="T26" s="8">
        <f>T17+T18+T21-T23-T24</f>
        <v>22</v>
      </c>
      <c r="U26" s="8">
        <f>U17+U18+U21-U23-U24</f>
        <v>19</v>
      </c>
      <c r="V26" s="8">
        <f>V17+V18+V21-V23-V24</f>
        <v>22</v>
      </c>
      <c r="W26" s="8">
        <f>W17+W18+W21-W23-W24</f>
        <v>19</v>
      </c>
    </row>
    <row r="27" spans="1:2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</row>
    <row r="29" spans="1:23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</row>
    <row r="30" spans="1:23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8">
        <f t="shared" si="8"/>
        <v>12.771212547196624</v>
      </c>
      <c r="Q30" s="8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12">
        <f>T31+10*LOG10(T28/T13)-T32</f>
        <v>12.771212547196624</v>
      </c>
      <c r="U30" s="12">
        <f>U31+10*LOG10(U28/U13)-U32</f>
        <v>12.771212547196624</v>
      </c>
      <c r="V30" s="12">
        <f>V31+10*LOG10(V28/V13)-V32</f>
        <v>12.771212547196624</v>
      </c>
      <c r="W30" s="12">
        <f>W31+10*LOG10(W28/W13)-W32</f>
        <v>12.771212547196624</v>
      </c>
    </row>
    <row r="31" spans="1:23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</row>
    <row r="32" spans="1:23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</row>
    <row r="33" spans="1:23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  <c r="R33" s="16">
        <v>8</v>
      </c>
      <c r="S33" s="16">
        <v>8</v>
      </c>
      <c r="T33" s="16">
        <v>12</v>
      </c>
      <c r="U33" s="16">
        <v>12</v>
      </c>
      <c r="V33" s="16">
        <v>8</v>
      </c>
      <c r="W33" s="16">
        <v>8</v>
      </c>
    </row>
    <row r="34" spans="1:23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</row>
    <row r="35" spans="1:23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</row>
    <row r="36" spans="1:23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</row>
    <row r="37" spans="1:23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</row>
    <row r="38" spans="1:23" ht="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</row>
    <row r="39" spans="1:23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</row>
    <row r="40" spans="1:23" ht="30">
      <c r="A40" s="7" t="s">
        <v>107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1">
        <f t="shared" si="9"/>
        <v>-169.00000000000003</v>
      </c>
      <c r="G40" s="71">
        <f t="shared" si="9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0">10*LOG10(10^((J35+J36)/10)+10^(J38/10))</f>
        <v>-164.03352307536667</v>
      </c>
      <c r="K40" s="12">
        <f t="shared" si="10"/>
        <v>-164.03352307536667</v>
      </c>
      <c r="L40" s="12">
        <f t="shared" ref="L40:Q40" si="11">10*LOG10(10^((L35+L36)/10)+10^(L38/10))</f>
        <v>-169.00000000000003</v>
      </c>
      <c r="M40" s="12">
        <f t="shared" si="11"/>
        <v>-169.00000000000003</v>
      </c>
      <c r="N40" s="8">
        <f t="shared" si="11"/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>10*LOG10(10^((R35+R36)/10)+10^(R38/10))</f>
        <v>-169.00000000000003</v>
      </c>
      <c r="S40" s="12">
        <f>10*LOG10(10^((S35+S36)/10)+10^(S38/10))</f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  <c r="V40" s="12">
        <f>10*LOG10(10^((V35+V36)/10)+10^(V38/10))</f>
        <v>-164.03352307536667</v>
      </c>
      <c r="W40" s="12">
        <f>10*LOG10(10^((W35+W36)/10)+10^(W38/10))</f>
        <v>-164.03352307536667</v>
      </c>
    </row>
    <row r="41" spans="1:23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</row>
    <row r="42" spans="1:23" ht="15">
      <c r="A42" s="33" t="s">
        <v>70</v>
      </c>
      <c r="B42" s="12">
        <f t="shared" ref="B42:G42" si="12">2*360*1000</f>
        <v>720000</v>
      </c>
      <c r="C42" s="12">
        <f t="shared" si="12"/>
        <v>720000</v>
      </c>
      <c r="D42" s="12">
        <f t="shared" si="12"/>
        <v>720000</v>
      </c>
      <c r="E42" s="12">
        <f t="shared" si="12"/>
        <v>720000</v>
      </c>
      <c r="F42" s="71">
        <f t="shared" si="12"/>
        <v>720000</v>
      </c>
      <c r="G42" s="71">
        <f t="shared" si="12"/>
        <v>720000</v>
      </c>
      <c r="H42" s="12">
        <f>2*360*1000</f>
        <v>720000</v>
      </c>
      <c r="I42" s="12">
        <f>2*360*1000</f>
        <v>720000</v>
      </c>
      <c r="J42" s="12">
        <f t="shared" ref="J42:K42" si="13">2*360*1000</f>
        <v>720000</v>
      </c>
      <c r="K42" s="12">
        <f t="shared" si="13"/>
        <v>720000</v>
      </c>
      <c r="L42" s="12">
        <f t="shared" ref="L42:Q42" si="14">2*360*1000</f>
        <v>720000</v>
      </c>
      <c r="M42" s="12">
        <f t="shared" si="14"/>
        <v>720000</v>
      </c>
      <c r="N42" s="8">
        <f t="shared" si="14"/>
        <v>720000</v>
      </c>
      <c r="O42" s="8">
        <f t="shared" si="14"/>
        <v>720000</v>
      </c>
      <c r="P42" s="8">
        <f t="shared" si="14"/>
        <v>720000</v>
      </c>
      <c r="Q42" s="8">
        <f t="shared" si="14"/>
        <v>720000</v>
      </c>
      <c r="R42" s="12">
        <f>2*360*1000</f>
        <v>720000</v>
      </c>
      <c r="S42" s="12">
        <f>2*360*1000</f>
        <v>720000</v>
      </c>
      <c r="T42" s="12">
        <f>2*360*1000</f>
        <v>720000</v>
      </c>
      <c r="U42" s="12">
        <f>2*360*1000</f>
        <v>720000</v>
      </c>
      <c r="V42" s="12">
        <f>2*360*1000</f>
        <v>720000</v>
      </c>
      <c r="W42" s="12">
        <f>2*360*1000</f>
        <v>720000</v>
      </c>
    </row>
    <row r="43" spans="1:23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</row>
    <row r="44" spans="1:23" ht="15">
      <c r="A44" s="7" t="s">
        <v>72</v>
      </c>
      <c r="B44" s="12">
        <f t="shared" ref="B44:G44" si="15">B40+10*LOG10(B42)</f>
        <v>-110.42667503568734</v>
      </c>
      <c r="C44" s="12">
        <f t="shared" si="15"/>
        <v>-110.42667503568734</v>
      </c>
      <c r="D44" s="12">
        <f t="shared" si="15"/>
        <v>-110.42667503568734</v>
      </c>
      <c r="E44" s="12">
        <f t="shared" si="15"/>
        <v>-110.42667503568734</v>
      </c>
      <c r="F44" s="71">
        <f t="shared" si="15"/>
        <v>-110.42667503568734</v>
      </c>
      <c r="G44" s="71">
        <f t="shared" si="15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16">J40+10*LOG10(J42)</f>
        <v>-105.46019811105398</v>
      </c>
      <c r="K44" s="12">
        <f t="shared" si="16"/>
        <v>-105.46019811105398</v>
      </c>
      <c r="L44" s="12">
        <f t="shared" ref="L44:Q44" si="17">L40+10*LOG10(L42)</f>
        <v>-110.42667503568734</v>
      </c>
      <c r="M44" s="12">
        <f t="shared" si="17"/>
        <v>-110.42667503568734</v>
      </c>
      <c r="N44" s="8">
        <f t="shared" si="17"/>
        <v>-110.42667503568734</v>
      </c>
      <c r="O44" s="8">
        <f t="shared" si="17"/>
        <v>-110.42667503568734</v>
      </c>
      <c r="P44" s="8">
        <f t="shared" si="17"/>
        <v>-105.46019811105398</v>
      </c>
      <c r="Q44" s="8">
        <f t="shared" si="17"/>
        <v>-105.46019811105398</v>
      </c>
      <c r="R44" s="12">
        <f>R40+10*LOG10(R42)</f>
        <v>-110.42667503568734</v>
      </c>
      <c r="S44" s="12">
        <f>S40+10*LOG10(S42)</f>
        <v>-110.42667503568734</v>
      </c>
      <c r="T44" s="12">
        <f>T40+10*LOG10(T42)</f>
        <v>-105.46019811105398</v>
      </c>
      <c r="U44" s="12">
        <f>U40+10*LOG10(U42)</f>
        <v>-105.46019811105398</v>
      </c>
      <c r="V44" s="12">
        <f>V40+10*LOG10(V42)</f>
        <v>-105.46019811105398</v>
      </c>
      <c r="W44" s="12">
        <f>W40+10*LOG10(W42)</f>
        <v>-105.46019811105398</v>
      </c>
    </row>
    <row r="45" spans="1:23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</row>
    <row r="46" spans="1:23" ht="15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  <c r="R46" s="16">
        <v>-6.45</v>
      </c>
      <c r="S46" s="16">
        <v>-6.45</v>
      </c>
      <c r="T46" s="16">
        <v>-5.6</v>
      </c>
      <c r="U46" s="16">
        <v>-5.6</v>
      </c>
      <c r="V46" s="16">
        <v>-6.38</v>
      </c>
      <c r="W46" s="16">
        <v>-6.38</v>
      </c>
    </row>
    <row r="47" spans="1:2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</row>
    <row r="49" spans="1:2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</row>
    <row r="50" spans="1:2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</row>
    <row r="51" spans="1:23" ht="30">
      <c r="A51" s="7" t="s">
        <v>82</v>
      </c>
      <c r="B51" s="12">
        <f t="shared" ref="B51:G51" si="18">B44+B46+B47-B49</f>
        <v>-110.22667503568734</v>
      </c>
      <c r="C51" s="12">
        <f t="shared" si="18"/>
        <v>-110.22667503568734</v>
      </c>
      <c r="D51" s="12">
        <f t="shared" si="18"/>
        <v>-115.63667503568733</v>
      </c>
      <c r="E51" s="12">
        <f t="shared" si="18"/>
        <v>-115.63667503568733</v>
      </c>
      <c r="F51" s="71">
        <f t="shared" si="18"/>
        <v>-114.93667503568734</v>
      </c>
      <c r="G51" s="71">
        <f t="shared" si="18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19">J44+J46+J47-J49</f>
        <v>-105.68019811105398</v>
      </c>
      <c r="K51" s="12">
        <f t="shared" si="19"/>
        <v>-105.54019811105398</v>
      </c>
      <c r="L51" s="12">
        <f t="shared" ref="L51:Q51" si="20">L44+L46+L47-L49</f>
        <v>-114.84667503568734</v>
      </c>
      <c r="M51" s="12">
        <f t="shared" si="20"/>
        <v>-114.84667503568734</v>
      </c>
      <c r="N51" s="8">
        <f t="shared" si="20"/>
        <v>-113.72667503568734</v>
      </c>
      <c r="O51" s="8">
        <f t="shared" si="20"/>
        <v>-113.72667503568734</v>
      </c>
      <c r="P51" s="8">
        <f t="shared" si="20"/>
        <v>-100.96019811105398</v>
      </c>
      <c r="Q51" s="8">
        <f t="shared" si="20"/>
        <v>-100.96019811105398</v>
      </c>
      <c r="R51" s="12">
        <f>R44+R46+R47-R49</f>
        <v>-114.87667503568734</v>
      </c>
      <c r="S51" s="12">
        <f>S44+S46+S47-S49</f>
        <v>-114.87667503568734</v>
      </c>
      <c r="T51" s="12">
        <f>T44+T46+T47-T49</f>
        <v>-109.06019811105398</v>
      </c>
      <c r="U51" s="12">
        <f>U44+U46+U47-U49</f>
        <v>-109.06019811105398</v>
      </c>
      <c r="V51" s="12">
        <f>V44+V46+V47-V49</f>
        <v>-109.84019811105398</v>
      </c>
      <c r="W51" s="12">
        <f>W44+W46+W47-W49</f>
        <v>-109.84019811105398</v>
      </c>
    </row>
    <row r="52" spans="1:23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</row>
    <row r="53" spans="1:23" ht="30">
      <c r="A53" s="29" t="s">
        <v>85</v>
      </c>
      <c r="B53" s="22">
        <f t="shared" ref="B53:G53" si="21">B26+B30+B33-B34-B51</f>
        <v>149.99788758288395</v>
      </c>
      <c r="C53" s="22">
        <f t="shared" si="21"/>
        <v>146.99788758288395</v>
      </c>
      <c r="D53" s="22">
        <f t="shared" si="21"/>
        <v>156.49788758288395</v>
      </c>
      <c r="E53" s="22">
        <f t="shared" si="21"/>
        <v>153.49788758288395</v>
      </c>
      <c r="F53" s="76">
        <f t="shared" si="21"/>
        <v>154.70788758288398</v>
      </c>
      <c r="G53" s="76">
        <f t="shared" si="21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22">J26+J30+J33-J34-J51</f>
        <v>152.50291044144967</v>
      </c>
      <c r="K53" s="22">
        <f t="shared" si="22"/>
        <v>149.36291044144969</v>
      </c>
      <c r="L53" s="22">
        <f t="shared" ref="L53:Q53" si="23">L26+L30+L33-L34-L51</f>
        <v>154.61788758288395</v>
      </c>
      <c r="M53" s="22">
        <f t="shared" si="23"/>
        <v>151.61788758288395</v>
      </c>
      <c r="N53" s="22">
        <f t="shared" si="23"/>
        <v>153.49788758288395</v>
      </c>
      <c r="O53" s="22">
        <f t="shared" si="23"/>
        <v>150.49788758288395</v>
      </c>
      <c r="P53" s="22">
        <f t="shared" si="23"/>
        <v>147.78141065825059</v>
      </c>
      <c r="Q53" s="22">
        <f t="shared" si="23"/>
        <v>144.78141065825059</v>
      </c>
      <c r="R53" s="22">
        <f>R26+R30+R33-R34-R51</f>
        <v>154.64788758288398</v>
      </c>
      <c r="S53" s="22">
        <f>S26+S30+S33-S34-S51</f>
        <v>151.64788758288398</v>
      </c>
      <c r="T53" s="22">
        <f>T26+T30+T33-T34-T51</f>
        <v>152.8314106582506</v>
      </c>
      <c r="U53" s="22">
        <f>U26+U30+U33-U34-U51</f>
        <v>149.8314106582506</v>
      </c>
      <c r="V53" s="22">
        <f>V26+V30+V33-V34-V51</f>
        <v>149.61141065825061</v>
      </c>
      <c r="W53" s="22">
        <f>W26+W30+W33-W34-W51</f>
        <v>146.61141065825061</v>
      </c>
    </row>
    <row r="54" spans="1:2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</row>
    <row r="56" spans="1:23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</row>
    <row r="57" spans="1:23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</row>
    <row r="58" spans="1:23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</row>
    <row r="59" spans="1:23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</row>
    <row r="60" spans="1:23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</row>
    <row r="61" spans="1:23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</row>
    <row r="62" spans="1:23" ht="30">
      <c r="A62" s="29" t="s">
        <v>109</v>
      </c>
      <c r="B62" s="22">
        <f t="shared" ref="B62:G62" si="24">B53-B57+B58-B59+B60</f>
        <v>119.26788758288396</v>
      </c>
      <c r="C62" s="22">
        <f t="shared" si="24"/>
        <v>116.26788758288396</v>
      </c>
      <c r="D62" s="22">
        <f t="shared" si="24"/>
        <v>125.76788758288396</v>
      </c>
      <c r="E62" s="22">
        <f t="shared" si="24"/>
        <v>122.76788758288396</v>
      </c>
      <c r="F62" s="76">
        <f t="shared" si="24"/>
        <v>123.97788758288399</v>
      </c>
      <c r="G62" s="76">
        <f t="shared" si="24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25">J53-J57+J58-J59+J60</f>
        <v>121.77291044144968</v>
      </c>
      <c r="K62" s="22">
        <f t="shared" si="25"/>
        <v>118.6329104414497</v>
      </c>
      <c r="L62" s="22">
        <f t="shared" ref="L62:Q62" si="26">L53-L57+L58-L59+L60</f>
        <v>123.88788758288396</v>
      </c>
      <c r="M62" s="22">
        <f t="shared" si="26"/>
        <v>120.88788758288396</v>
      </c>
      <c r="N62" s="22">
        <f t="shared" si="26"/>
        <v>122.76788758288396</v>
      </c>
      <c r="O62" s="22">
        <f t="shared" si="26"/>
        <v>119.76788758288396</v>
      </c>
      <c r="P62" s="22">
        <f t="shared" si="26"/>
        <v>117.0514106582506</v>
      </c>
      <c r="Q62" s="22">
        <f t="shared" si="26"/>
        <v>114.0514106582506</v>
      </c>
      <c r="R62" s="22">
        <f>R53-R57+R58-R59+R60</f>
        <v>123.91788758288399</v>
      </c>
      <c r="S62" s="22">
        <f>S53-S57+S58-S59+S60</f>
        <v>120.91788758288399</v>
      </c>
      <c r="T62" s="22">
        <f>T53-T57+T58-T59+T60</f>
        <v>122.10141065825061</v>
      </c>
      <c r="U62" s="22">
        <f>U53-U57+U58-U59+U60</f>
        <v>119.10141065825061</v>
      </c>
      <c r="V62" s="22">
        <f>V53-V57+V58-V59+V60</f>
        <v>121.88141065825062</v>
      </c>
      <c r="W62" s="22">
        <f>W53-W57+W58-W59+W60</f>
        <v>118.88141065825062</v>
      </c>
    </row>
    <row r="63" spans="1:23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1:23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</row>
    <row r="65" spans="1:23" ht="15">
      <c r="A65" s="29" t="s">
        <v>98</v>
      </c>
      <c r="B65" s="22">
        <f t="shared" ref="B65:G65" si="27">B17-B23-B51+B21+B33</f>
        <v>141.22667503568732</v>
      </c>
      <c r="C65" s="22">
        <f t="shared" si="27"/>
        <v>141.22667503568732</v>
      </c>
      <c r="D65" s="22">
        <f t="shared" si="27"/>
        <v>150.67667503568734</v>
      </c>
      <c r="E65" s="22">
        <f t="shared" si="27"/>
        <v>150.67667503568734</v>
      </c>
      <c r="F65" s="76">
        <f t="shared" si="27"/>
        <v>145.93667503568736</v>
      </c>
      <c r="G65" s="76">
        <f t="shared" si="27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28">J17-J23-J51+J21+J33</f>
        <v>143.73169789425305</v>
      </c>
      <c r="K65" s="22">
        <f t="shared" si="28"/>
        <v>143.59169789425306</v>
      </c>
      <c r="L65" s="22">
        <f t="shared" ref="L65:Q65" si="29">L17-L23-L51+L21+L33</f>
        <v>145.84667503568733</v>
      </c>
      <c r="M65" s="22">
        <f t="shared" si="29"/>
        <v>145.84667503568733</v>
      </c>
      <c r="N65" s="22">
        <f t="shared" si="29"/>
        <v>144.72667503568732</v>
      </c>
      <c r="O65" s="22">
        <f t="shared" si="29"/>
        <v>144.72667503568732</v>
      </c>
      <c r="P65" s="22">
        <f t="shared" si="29"/>
        <v>139.010198111054</v>
      </c>
      <c r="Q65" s="22">
        <f t="shared" si="29"/>
        <v>139.010198111054</v>
      </c>
      <c r="R65" s="22">
        <f>R17-R23-R51+R21+R33</f>
        <v>145.87667503568736</v>
      </c>
      <c r="S65" s="22">
        <f>S17-S23-S51+S21+S33</f>
        <v>145.87667503568736</v>
      </c>
      <c r="T65" s="22">
        <f>T17-T23-T51+T21+T33</f>
        <v>144.06019811105398</v>
      </c>
      <c r="U65" s="22">
        <f>U17-U23-U51+U21+U33</f>
        <v>144.06019811105398</v>
      </c>
      <c r="V65" s="22">
        <f>V17-V23-V51+V21+V33</f>
        <v>140.84019811105398</v>
      </c>
      <c r="W65" s="22">
        <f>W17-W23-W51+W21+W33</f>
        <v>140.84019811105398</v>
      </c>
    </row>
  </sheetData>
  <mergeCells count="11">
    <mergeCell ref="V1:W1"/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53" activePane="bottomRight" state="frozen"/>
      <selection pane="topRight"/>
      <selection pane="bottomLeft"/>
      <selection pane="bottomRight" activeCell="E2" sqref="E1:G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7" width="16.125" style="1" customWidth="1"/>
    <col min="8" max="16384" width="9" style="1"/>
  </cols>
  <sheetData>
    <row r="1" spans="1:7" ht="14.25" customHeight="1">
      <c r="A1" s="3"/>
      <c r="B1" s="90" t="s">
        <v>119</v>
      </c>
      <c r="C1" s="90"/>
      <c r="D1" s="90"/>
      <c r="E1" s="90" t="s">
        <v>136</v>
      </c>
      <c r="F1" s="90"/>
      <c r="G1" s="90"/>
    </row>
    <row r="2" spans="1:7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</row>
    <row r="3" spans="1: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/>
    </row>
    <row r="4" spans="1: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/>
    </row>
    <row r="5" spans="1: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/>
    </row>
    <row r="6" spans="1:7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/>
    </row>
    <row r="7" spans="1:7" ht="15">
      <c r="A7" s="7" t="s">
        <v>19</v>
      </c>
      <c r="B7" s="84" t="s">
        <v>122</v>
      </c>
      <c r="C7" s="84" t="s">
        <v>122</v>
      </c>
      <c r="D7" s="84" t="s">
        <v>122</v>
      </c>
      <c r="E7" s="9" t="s">
        <v>16</v>
      </c>
      <c r="F7" s="9" t="s">
        <v>16</v>
      </c>
      <c r="G7" s="84"/>
    </row>
    <row r="8" spans="1:7" ht="15">
      <c r="A8" s="7" t="s">
        <v>20</v>
      </c>
      <c r="B8" s="26">
        <v>0.01</v>
      </c>
      <c r="C8" s="26">
        <v>0.01</v>
      </c>
      <c r="D8" s="26">
        <v>0.01</v>
      </c>
      <c r="E8" s="26">
        <v>0.1</v>
      </c>
      <c r="F8" s="26">
        <v>0.1</v>
      </c>
      <c r="G8" s="26"/>
    </row>
    <row r="9" spans="1: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/>
    </row>
    <row r="10" spans="1: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/>
    </row>
    <row r="11" spans="1:7">
      <c r="A11" s="4" t="s">
        <v>24</v>
      </c>
      <c r="B11" s="13"/>
      <c r="C11" s="13"/>
      <c r="D11" s="13"/>
      <c r="E11" s="13"/>
      <c r="F11" s="13"/>
      <c r="G11" s="13"/>
    </row>
    <row r="12" spans="1:7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12"/>
    </row>
    <row r="13" spans="1:7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12"/>
    </row>
    <row r="14" spans="1:7" ht="15">
      <c r="A14" s="15" t="s">
        <v>29</v>
      </c>
      <c r="B14" s="82">
        <v>2</v>
      </c>
      <c r="C14" s="82">
        <v>2</v>
      </c>
      <c r="D14" s="82">
        <v>2</v>
      </c>
      <c r="E14" s="82">
        <v>4</v>
      </c>
      <c r="F14" s="82">
        <v>4</v>
      </c>
      <c r="G14" s="82"/>
    </row>
    <row r="15" spans="1:7" ht="15">
      <c r="A15" s="10" t="s">
        <v>31</v>
      </c>
      <c r="B15" s="83">
        <v>33</v>
      </c>
      <c r="C15" s="83">
        <v>33</v>
      </c>
      <c r="D15" s="83">
        <v>33</v>
      </c>
      <c r="E15" s="12">
        <v>33</v>
      </c>
      <c r="F15" s="12">
        <v>33</v>
      </c>
      <c r="G15" s="12"/>
    </row>
    <row r="16" spans="1:7" ht="15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12"/>
    </row>
    <row r="17" spans="1:7" ht="30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  <c r="E17" s="12">
        <f>E15+10*LOG10(E42/1000000)</f>
        <v>41.57332496431269</v>
      </c>
      <c r="F17" s="12">
        <f>F15+10*LOG10(F42/1000000)</f>
        <v>41.57332496431269</v>
      </c>
      <c r="G17" s="12"/>
    </row>
    <row r="18" spans="1:7" ht="45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  <c r="E18" s="12">
        <f>E19+10*LOG10(E12/E13)-E20</f>
        <v>12.771212547196624</v>
      </c>
      <c r="F18" s="12">
        <f>F19+10*LOG10(F12/F13)-F20</f>
        <v>12.771212547196624</v>
      </c>
      <c r="G18" s="12"/>
    </row>
    <row r="19" spans="1: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/>
    </row>
    <row r="20" spans="1:7" ht="45">
      <c r="A20" s="15" t="s">
        <v>41</v>
      </c>
      <c r="B20" s="82">
        <v>2.65</v>
      </c>
      <c r="C20" s="82">
        <v>2.65</v>
      </c>
      <c r="D20" s="82">
        <v>2.65</v>
      </c>
      <c r="E20" s="82">
        <v>0</v>
      </c>
      <c r="F20" s="82">
        <v>0</v>
      </c>
      <c r="G20" s="82"/>
    </row>
    <row r="21" spans="1:7" ht="61.5" customHeight="1">
      <c r="A21" s="27" t="s">
        <v>43</v>
      </c>
      <c r="B21" s="16">
        <f>10*LOG10(B13/B14)-8</f>
        <v>7.0514997831990609</v>
      </c>
      <c r="C21" s="16">
        <f t="shared" ref="C21:D21" si="0">10*LOG10(C13/C14)-8</f>
        <v>7.0514997831990609</v>
      </c>
      <c r="D21" s="16">
        <f t="shared" si="0"/>
        <v>7.0514997831990609</v>
      </c>
      <c r="E21" s="16">
        <v>6</v>
      </c>
      <c r="F21" s="16">
        <v>6</v>
      </c>
      <c r="G21" s="16"/>
    </row>
    <row r="22" spans="1: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/>
    </row>
    <row r="23" spans="1: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/>
    </row>
    <row r="24" spans="1: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/>
    </row>
    <row r="25" spans="1: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/>
    </row>
    <row r="26" spans="1:7" ht="15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  <c r="E26" s="12">
        <f>E17+E18+E21-E23-E24</f>
        <v>57.344537511509316</v>
      </c>
      <c r="F26" s="12">
        <f>F17+F18+F21-F23-F24</f>
        <v>57.344537511509316</v>
      </c>
      <c r="G26" s="12"/>
    </row>
    <row r="27" spans="1:7">
      <c r="A27" s="4" t="s">
        <v>52</v>
      </c>
      <c r="B27" s="13"/>
      <c r="C27" s="13"/>
      <c r="D27" s="13"/>
      <c r="E27" s="13"/>
      <c r="F27" s="13"/>
      <c r="G27" s="13"/>
    </row>
    <row r="28" spans="1:7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2</v>
      </c>
      <c r="G28" s="12"/>
    </row>
    <row r="29" spans="1:7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2</v>
      </c>
      <c r="G29" s="12"/>
    </row>
    <row r="30" spans="1:7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12"/>
    </row>
    <row r="31" spans="1: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/>
    </row>
    <row r="32" spans="1:7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/>
    </row>
    <row r="33" spans="1:7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/>
    </row>
    <row r="34" spans="1: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/>
    </row>
    <row r="35" spans="1: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/>
    </row>
    <row r="36" spans="1: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/>
    </row>
    <row r="37" spans="1:7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/>
    </row>
    <row r="38" spans="1:7" ht="15">
      <c r="A38" s="15" t="s">
        <v>65</v>
      </c>
      <c r="B38" s="82">
        <v>-169.3</v>
      </c>
      <c r="C38" s="82">
        <v>-169.3</v>
      </c>
      <c r="D38" s="82">
        <v>-169.3</v>
      </c>
      <c r="E38" s="82">
        <v>-169.3</v>
      </c>
      <c r="F38" s="82">
        <v>-169.3</v>
      </c>
      <c r="G38" s="82"/>
    </row>
    <row r="39" spans="1:7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/>
    </row>
    <row r="40" spans="1:7" ht="30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  <c r="E40" s="12">
        <f>10*LOG10(10^((E35+E36)/10)+10^(E38/10))</f>
        <v>-164.98918835931039</v>
      </c>
      <c r="F40" s="12">
        <f>10*LOG10(10^((F35+F36)/10)+10^(F38/10))</f>
        <v>-164.98918835931039</v>
      </c>
      <c r="G40" s="12"/>
    </row>
    <row r="41" spans="1:7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/>
    </row>
    <row r="42" spans="1:7" ht="15">
      <c r="A42" s="28" t="s">
        <v>70</v>
      </c>
      <c r="B42" s="16">
        <f>20*360*1000</f>
        <v>7200000</v>
      </c>
      <c r="C42" s="16">
        <f t="shared" ref="C42:D42" si="1">20*360*1000</f>
        <v>7200000</v>
      </c>
      <c r="D42" s="16">
        <f t="shared" si="1"/>
        <v>7200000</v>
      </c>
      <c r="E42" s="16">
        <f>20*360*1000</f>
        <v>7200000</v>
      </c>
      <c r="F42" s="16">
        <f t="shared" ref="F42" si="2">20*360*1000</f>
        <v>7200000</v>
      </c>
      <c r="G42" s="16"/>
    </row>
    <row r="43" spans="1:7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/>
    </row>
    <row r="44" spans="1:7" ht="15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  <c r="E44" s="12">
        <f>E40+10*LOG10(E42)</f>
        <v>-96.415863394997714</v>
      </c>
      <c r="F44" s="12">
        <f>F40+10*LOG10(F42)</f>
        <v>-96.415863394997714</v>
      </c>
      <c r="G44" s="12"/>
    </row>
    <row r="45" spans="1:7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/>
    </row>
    <row r="46" spans="1:7" ht="15">
      <c r="A46" s="28" t="s">
        <v>75</v>
      </c>
      <c r="B46" s="16">
        <v>-11.6</v>
      </c>
      <c r="C46" s="16">
        <v>-9.1999999999999993</v>
      </c>
      <c r="D46" s="16">
        <v>-6.11</v>
      </c>
      <c r="E46" s="16">
        <v>-13.08</v>
      </c>
      <c r="F46" s="16">
        <v>-11.03</v>
      </c>
      <c r="G46" s="16"/>
    </row>
    <row r="47" spans="1: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/>
    </row>
    <row r="48" spans="1:7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/>
    </row>
    <row r="49" spans="1: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/>
    </row>
    <row r="50" spans="1: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/>
    </row>
    <row r="51" spans="1:7" ht="30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  <c r="E51" s="12">
        <f>E44+E46+E47-E49</f>
        <v>-107.49586339499771</v>
      </c>
      <c r="F51" s="12">
        <f>F44+F46+F47-F49</f>
        <v>-105.44586339499772</v>
      </c>
      <c r="G51" s="12"/>
    </row>
    <row r="52" spans="1:7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24"/>
    </row>
    <row r="53" spans="1:7" ht="30">
      <c r="A53" s="29" t="s">
        <v>85</v>
      </c>
      <c r="B53" s="22">
        <f>B26+B30+B33-B34-B51</f>
        <v>160.76190068970607</v>
      </c>
      <c r="C53" s="22">
        <f t="shared" ref="C53:D53" si="3">C26+C30+C33-C34-C51</f>
        <v>155.36190068970609</v>
      </c>
      <c r="D53" s="22">
        <f t="shared" si="3"/>
        <v>152.27190068970609</v>
      </c>
      <c r="E53" s="22">
        <f>E26+E30+E33-E34-E51</f>
        <v>163.84040090650703</v>
      </c>
      <c r="F53" s="22">
        <f t="shared" ref="F53" si="4">F26+F30+F33-F34-F51</f>
        <v>158.79040090650705</v>
      </c>
      <c r="G53" s="22"/>
    </row>
    <row r="54" spans="1:7">
      <c r="A54" s="4" t="s">
        <v>86</v>
      </c>
      <c r="B54" s="13"/>
      <c r="C54" s="13"/>
      <c r="D54" s="13"/>
      <c r="E54" s="13"/>
      <c r="F54" s="13"/>
      <c r="G54" s="13"/>
    </row>
    <row r="55" spans="1:7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/>
    </row>
    <row r="56" spans="1:7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25"/>
    </row>
    <row r="57" spans="1:7" ht="30">
      <c r="A57" s="30" t="s">
        <v>90</v>
      </c>
      <c r="B57" s="82">
        <v>7.56</v>
      </c>
      <c r="C57" s="82">
        <v>7.56</v>
      </c>
      <c r="D57" s="82">
        <v>7.56</v>
      </c>
      <c r="E57" s="83">
        <v>7.56</v>
      </c>
      <c r="F57" s="83">
        <v>7.56</v>
      </c>
      <c r="G57" s="82"/>
    </row>
    <row r="58" spans="1:7" ht="15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/>
    </row>
    <row r="59" spans="1:7" ht="15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/>
    </row>
    <row r="60" spans="1:7" ht="15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/>
    </row>
    <row r="61" spans="1:7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24"/>
    </row>
    <row r="62" spans="1:7" ht="30">
      <c r="A62" s="29" t="s">
        <v>109</v>
      </c>
      <c r="B62" s="22">
        <f>B53-B57+B58-B59+B60</f>
        <v>126.95190068970606</v>
      </c>
      <c r="C62" s="22">
        <f t="shared" ref="C62:D62" si="5">C53-C57+C58-C59+C60</f>
        <v>121.55190068970609</v>
      </c>
      <c r="D62" s="22">
        <f t="shared" si="5"/>
        <v>118.46190068970608</v>
      </c>
      <c r="E62" s="22">
        <f>E53-E57+E58-E59+E60</f>
        <v>130.03040090650703</v>
      </c>
      <c r="F62" s="22">
        <f t="shared" ref="F62" si="6">F53-F57+F58-F59+F60</f>
        <v>124.98040090650704</v>
      </c>
      <c r="G62" s="22"/>
    </row>
    <row r="63" spans="1:7">
      <c r="C63" s="2"/>
      <c r="D63" s="2"/>
      <c r="E63" s="2"/>
      <c r="F63" s="2"/>
      <c r="G63" s="2"/>
    </row>
    <row r="64" spans="1:7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24"/>
    </row>
    <row r="65" spans="1:7" ht="15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  <c r="E65" s="22">
        <f>E17-E23-E51+E21+E33</f>
        <v>155.0691883593104</v>
      </c>
      <c r="F65" s="22">
        <f>F17-F23-F51+F21+F33</f>
        <v>153.01918835931042</v>
      </c>
      <c r="G65" s="22"/>
    </row>
  </sheetData>
  <mergeCells count="2">
    <mergeCell ref="B1:D1"/>
    <mergeCell ref="E1:G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2" activePane="bottomRight" state="frozen"/>
      <selection pane="topRight"/>
      <selection pane="bottomLeft"/>
      <selection pane="bottomRight" activeCell="F2" sqref="F1:G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7" width="18" style="1" customWidth="1"/>
    <col min="8" max="16384" width="9" style="1"/>
  </cols>
  <sheetData>
    <row r="1" spans="1:7" ht="14.25" customHeight="1">
      <c r="A1" s="3"/>
      <c r="B1" s="90" t="s">
        <v>119</v>
      </c>
      <c r="C1" s="90"/>
      <c r="D1" s="90" t="s">
        <v>129</v>
      </c>
      <c r="E1" s="90"/>
      <c r="F1" s="90" t="s">
        <v>131</v>
      </c>
      <c r="G1" s="90"/>
    </row>
    <row r="2" spans="1: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5" t="s">
        <v>102</v>
      </c>
      <c r="G2" s="6" t="s">
        <v>110</v>
      </c>
    </row>
    <row r="3" spans="1: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>
        <v>2.6</v>
      </c>
    </row>
    <row r="4" spans="1: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</row>
    <row r="5" spans="1: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</row>
    <row r="6" spans="1: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</row>
    <row r="7" spans="1:7" ht="30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</row>
    <row r="8" spans="1: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</row>
    <row r="9" spans="1:7" ht="15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</row>
    <row r="10" spans="1:7" ht="15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</row>
    <row r="11" spans="1:7">
      <c r="A11" s="4" t="s">
        <v>24</v>
      </c>
      <c r="B11" s="13"/>
      <c r="C11" s="13"/>
      <c r="D11" s="13"/>
      <c r="E11" s="13"/>
      <c r="F11" s="13"/>
      <c r="G11" s="13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</row>
    <row r="13" spans="1:7" ht="15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  <c r="F13" s="12">
        <v>64</v>
      </c>
      <c r="G13" s="12">
        <v>64</v>
      </c>
    </row>
    <row r="14" spans="1:7" ht="15">
      <c r="A14" s="14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</row>
    <row r="15" spans="1:7" ht="15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</row>
    <row r="16" spans="1: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</row>
    <row r="17" spans="1: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</row>
    <row r="18" spans="1:7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</row>
    <row r="19" spans="1: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</row>
    <row r="20" spans="1:7" ht="45">
      <c r="A20" s="14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</row>
    <row r="21" spans="1:7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</row>
    <row r="22" spans="1: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</row>
    <row r="25" spans="1:7" ht="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</row>
    <row r="26" spans="1: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</row>
    <row r="27" spans="1:7">
      <c r="A27" s="4" t="s">
        <v>52</v>
      </c>
      <c r="B27" s="13"/>
      <c r="C27" s="13"/>
      <c r="D27" s="13"/>
      <c r="E27" s="13"/>
      <c r="F27" s="13"/>
      <c r="G27" s="13"/>
    </row>
    <row r="28" spans="1:7" ht="15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  <c r="F28" s="12">
        <v>192</v>
      </c>
      <c r="G28" s="12">
        <v>192</v>
      </c>
    </row>
    <row r="29" spans="1:7" ht="15">
      <c r="A29" s="15" t="s">
        <v>54</v>
      </c>
      <c r="B29" s="82">
        <v>2</v>
      </c>
      <c r="C29" s="82">
        <v>2</v>
      </c>
      <c r="D29" s="82">
        <v>2</v>
      </c>
      <c r="E29" s="82">
        <v>2</v>
      </c>
      <c r="F29" s="82">
        <v>4</v>
      </c>
      <c r="G29" s="82">
        <v>4</v>
      </c>
    </row>
    <row r="30" spans="1:7" ht="45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8">
        <f t="shared" si="2"/>
        <v>12.771212547196624</v>
      </c>
      <c r="E30" s="8">
        <f t="shared" si="2"/>
        <v>12.771212547196624</v>
      </c>
      <c r="F30" s="12">
        <f t="shared" si="2"/>
        <v>12.771212547196624</v>
      </c>
      <c r="G30" s="12">
        <f t="shared" si="2"/>
        <v>12.771212547196624</v>
      </c>
    </row>
    <row r="31" spans="1: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</row>
    <row r="32" spans="1:7" ht="45">
      <c r="A32" s="15" t="s">
        <v>58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</row>
    <row r="33" spans="1:7" ht="28.5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  <c r="F33" s="16">
        <v>12</v>
      </c>
      <c r="G33" s="16">
        <v>12</v>
      </c>
    </row>
    <row r="34" spans="1: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</row>
    <row r="35" spans="1: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</row>
    <row r="36" spans="1: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</row>
    <row r="37" spans="1:7" ht="15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  <c r="F37" s="82">
        <v>-161.69999999999999</v>
      </c>
      <c r="G37" s="82">
        <v>-161.69999999999999</v>
      </c>
    </row>
    <row r="38" spans="1:7" ht="15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</row>
    <row r="39" spans="1:7" ht="30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-160.9583889004532</v>
      </c>
      <c r="G39" s="12">
        <f t="shared" si="3"/>
        <v>-160.9583889004532</v>
      </c>
    </row>
    <row r="40" spans="1:7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</row>
    <row r="41" spans="1:7" ht="15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  <c r="F41" s="82">
        <f>12*12*15*1000</f>
        <v>2160000</v>
      </c>
      <c r="G41" s="82">
        <f>12*12*15*1000</f>
        <v>2160000</v>
      </c>
    </row>
    <row r="42" spans="1:7" ht="15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</row>
    <row r="43" spans="1:7" ht="15">
      <c r="A43" s="7" t="s">
        <v>71</v>
      </c>
      <c r="B43" s="12">
        <f t="shared" ref="B43:G43" si="4">B39+10*LOG10(B41)</f>
        <v>-94.603551432304087</v>
      </c>
      <c r="C43" s="12">
        <f t="shared" si="4"/>
        <v>-94.603551432304087</v>
      </c>
      <c r="D43" s="8">
        <f t="shared" si="4"/>
        <v>-105.46019811105398</v>
      </c>
      <c r="E43" s="8">
        <f t="shared" si="4"/>
        <v>-105.46019811105398</v>
      </c>
      <c r="F43" s="12">
        <f t="shared" si="4"/>
        <v>-97.613851388943885</v>
      </c>
      <c r="G43" s="12">
        <f t="shared" si="4"/>
        <v>-97.613851388943885</v>
      </c>
    </row>
    <row r="44" spans="1: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</row>
    <row r="45" spans="1:7" ht="15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  <c r="F45" s="16">
        <v>-19.239999999999998</v>
      </c>
      <c r="G45" s="16">
        <v>-19.239999999999998</v>
      </c>
    </row>
    <row r="46" spans="1:7" ht="15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</row>
    <row r="47" spans="1: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</row>
    <row r="48" spans="1: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</row>
    <row r="49" spans="1: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</row>
    <row r="50" spans="1:7" ht="30">
      <c r="A50" s="7" t="s">
        <v>80</v>
      </c>
      <c r="B50" s="12">
        <f t="shared" ref="B50:G50" si="5">B43+B45+B47-B48</f>
        <v>-102.85355143230409</v>
      </c>
      <c r="C50" s="12">
        <f t="shared" si="5"/>
        <v>-102.85355143230409</v>
      </c>
      <c r="D50" s="8">
        <f t="shared" si="5"/>
        <v>-103.46019811105398</v>
      </c>
      <c r="E50" s="8">
        <f t="shared" si="5"/>
        <v>-103.46019811105398</v>
      </c>
      <c r="F50" s="12">
        <f t="shared" si="5"/>
        <v>-114.85385138894388</v>
      </c>
      <c r="G50" s="12">
        <f t="shared" si="5"/>
        <v>-114.85385138894388</v>
      </c>
    </row>
    <row r="51" spans="1:7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</row>
    <row r="52" spans="1:7" ht="30">
      <c r="A52" s="21" t="s">
        <v>83</v>
      </c>
      <c r="B52" s="22">
        <f t="shared" ref="B52:G52" si="6">B25+B30+B33-B34-B50</f>
        <v>149.67626376269976</v>
      </c>
      <c r="C52" s="22">
        <f t="shared" si="6"/>
        <v>146.67626376269976</v>
      </c>
      <c r="D52" s="22">
        <f t="shared" si="6"/>
        <v>150.28141065825059</v>
      </c>
      <c r="E52" s="22">
        <f t="shared" si="6"/>
        <v>147.28141065825059</v>
      </c>
      <c r="F52" s="22">
        <f t="shared" si="6"/>
        <v>158.62506393614052</v>
      </c>
      <c r="G52" s="22">
        <f t="shared" si="6"/>
        <v>155.62506393614052</v>
      </c>
    </row>
    <row r="53" spans="1:7" ht="30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  <c r="F53" s="24" t="s">
        <v>16</v>
      </c>
      <c r="G53" s="24" t="s">
        <v>16</v>
      </c>
    </row>
    <row r="54" spans="1:7">
      <c r="A54" s="4" t="s">
        <v>86</v>
      </c>
      <c r="B54" s="13"/>
      <c r="C54" s="13"/>
      <c r="D54" s="13"/>
      <c r="E54" s="13"/>
      <c r="F54" s="13"/>
      <c r="G54" s="13"/>
    </row>
    <row r="55" spans="1:7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>
        <v>7</v>
      </c>
    </row>
    <row r="56" spans="1:7" ht="30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  <c r="F56" s="82">
        <v>7.56</v>
      </c>
      <c r="G56" s="82">
        <v>7.56</v>
      </c>
    </row>
    <row r="57" spans="1:7" ht="30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  <c r="F57" s="25" t="s">
        <v>16</v>
      </c>
      <c r="G57" s="25" t="s">
        <v>16</v>
      </c>
    </row>
    <row r="58" spans="1:7" ht="15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</row>
    <row r="59" spans="1:7" ht="15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>
        <v>26.25</v>
      </c>
    </row>
    <row r="60" spans="1:7" ht="15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</row>
    <row r="61" spans="1:7" ht="30">
      <c r="A61" s="21" t="s">
        <v>108</v>
      </c>
      <c r="B61" s="22">
        <f t="shared" ref="B61:G61" si="7">B52-B56+B58-B59+B60</f>
        <v>115.86626376269976</v>
      </c>
      <c r="C61" s="22">
        <f t="shared" si="7"/>
        <v>112.86626376269976</v>
      </c>
      <c r="D61" s="22">
        <f t="shared" si="7"/>
        <v>119.1514106582506</v>
      </c>
      <c r="E61" s="22">
        <f t="shared" si="7"/>
        <v>116.1514106582506</v>
      </c>
      <c r="F61" s="22">
        <f t="shared" si="7"/>
        <v>124.81506393614052</v>
      </c>
      <c r="G61" s="22">
        <f t="shared" si="7"/>
        <v>121.81506393614052</v>
      </c>
    </row>
    <row r="62" spans="1:7" ht="30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  <c r="F62" s="24" t="s">
        <v>16</v>
      </c>
      <c r="G62" s="24" t="s">
        <v>16</v>
      </c>
    </row>
    <row r="63" spans="1:7">
      <c r="C63" s="2"/>
      <c r="E63" s="2"/>
      <c r="F63" s="2"/>
      <c r="G63" s="2"/>
    </row>
    <row r="64" spans="1:7" ht="15">
      <c r="A64" s="21" t="s">
        <v>97</v>
      </c>
      <c r="B64" s="22">
        <f t="shared" ref="B64:G64" si="8">B17+B22-B50+B21+B33</f>
        <v>140.90505121550314</v>
      </c>
      <c r="C64" s="22">
        <f t="shared" si="8"/>
        <v>140.90505121550314</v>
      </c>
      <c r="D64" s="22">
        <f t="shared" si="8"/>
        <v>141.510198111054</v>
      </c>
      <c r="E64" s="22">
        <f t="shared" si="8"/>
        <v>141.510198111054</v>
      </c>
      <c r="F64" s="22">
        <f t="shared" si="8"/>
        <v>149.85385138894389</v>
      </c>
      <c r="G64" s="22">
        <f t="shared" si="8"/>
        <v>149.85385138894389</v>
      </c>
    </row>
    <row r="65" spans="1:7" ht="15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  <c r="F65" s="24" t="s">
        <v>16</v>
      </c>
      <c r="G65" s="24" t="s">
        <v>16</v>
      </c>
    </row>
  </sheetData>
  <mergeCells count="3">
    <mergeCell ref="B1:C1"/>
    <mergeCell ref="D1:E1"/>
    <mergeCell ref="F1:G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7" width="20.25" style="1" customWidth="1"/>
    <col min="8" max="16384" width="9" style="1"/>
  </cols>
  <sheetData>
    <row r="1" spans="1:6" ht="15">
      <c r="A1" s="39" t="s">
        <v>0</v>
      </c>
    </row>
    <row r="2" spans="1:6" ht="30">
      <c r="A2" s="40" t="s">
        <v>1</v>
      </c>
    </row>
    <row r="3" spans="1:6" ht="15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 ht="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 ht="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60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 ht="15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 ht="15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5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60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 ht="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 ht="15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 ht="15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 ht="15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 ht="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30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30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30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30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 ht="15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7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7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7" ht="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7" ht="15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7" ht="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7" ht="30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30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 ht="15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 ht="15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 ht="15">
      <c r="A75" s="37"/>
      <c r="B75" s="2"/>
      <c r="C75" s="2"/>
      <c r="D75" s="2"/>
      <c r="E75" s="35"/>
      <c r="F75" s="38"/>
    </row>
    <row r="77" spans="1:7" ht="15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zoomScale="70" zoomScaleNormal="70" workbookViewId="0">
      <pane xSplit="1" ySplit="1" topLeftCell="AE2" activePane="bottomRight" state="frozen"/>
      <selection pane="topRight"/>
      <selection pane="bottomLeft"/>
      <selection pane="bottomRight" activeCell="AI1" sqref="AI1:AK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6" width="15.625" style="1" customWidth="1"/>
    <col min="17" max="17" width="12.5" style="1" bestFit="1" customWidth="1"/>
    <col min="18" max="19" width="15.75" style="1" bestFit="1" customWidth="1"/>
    <col min="20" max="20" width="13.625" style="1" customWidth="1"/>
    <col min="21" max="21" width="14.875" style="1" customWidth="1"/>
    <col min="22" max="22" width="17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31" width="14" style="1" customWidth="1"/>
    <col min="32" max="32" width="12.75" style="1" bestFit="1" customWidth="1"/>
    <col min="33" max="34" width="15.75" style="1" bestFit="1" customWidth="1"/>
    <col min="35" max="35" width="15.625" style="2" customWidth="1"/>
    <col min="36" max="37" width="15.625" style="1" customWidth="1"/>
    <col min="38" max="16384" width="9" style="1"/>
  </cols>
  <sheetData>
    <row r="1" spans="1:37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117</v>
      </c>
      <c r="O1" s="90"/>
      <c r="P1" s="90"/>
      <c r="Q1" s="90" t="s">
        <v>125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132</v>
      </c>
      <c r="AD1" s="90"/>
      <c r="AE1" s="90"/>
      <c r="AF1" s="90" t="s">
        <v>138</v>
      </c>
      <c r="AG1" s="90"/>
      <c r="AH1" s="90"/>
      <c r="AI1" s="90" t="s">
        <v>139</v>
      </c>
      <c r="AJ1" s="90"/>
      <c r="AK1" s="90"/>
    </row>
    <row r="2" spans="1:37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</row>
    <row r="3" spans="1:3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</row>
    <row r="4" spans="1:3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</row>
    <row r="5" spans="1:3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</row>
    <row r="6" spans="1:37" ht="15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  <c r="Z6" s="12">
        <v>10000000</v>
      </c>
      <c r="AA6" s="12">
        <v>2000000</v>
      </c>
      <c r="AB6" s="12">
        <v>2000000</v>
      </c>
      <c r="AC6" s="12">
        <v>10000000</v>
      </c>
      <c r="AD6" s="12">
        <v>2000000</v>
      </c>
      <c r="AE6" s="12"/>
      <c r="AF6" s="12">
        <v>10000000</v>
      </c>
      <c r="AG6" s="12">
        <v>2000000</v>
      </c>
      <c r="AH6" s="12">
        <v>2000000</v>
      </c>
      <c r="AI6" s="12">
        <v>10000000</v>
      </c>
      <c r="AJ6" s="12">
        <v>2000000</v>
      </c>
      <c r="AK6" s="12">
        <v>2000000</v>
      </c>
    </row>
    <row r="7" spans="1:37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/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</row>
    <row r="8" spans="1:37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6">
        <v>0.1</v>
      </c>
      <c r="AA8" s="26">
        <v>0.1</v>
      </c>
      <c r="AB8" s="26">
        <v>0.1</v>
      </c>
      <c r="AC8" s="26">
        <v>0.1</v>
      </c>
      <c r="AD8" s="26">
        <v>0.1</v>
      </c>
      <c r="AE8" s="26"/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26">
        <v>0.1</v>
      </c>
    </row>
    <row r="9" spans="1:3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</row>
    <row r="10" spans="1:3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</row>
    <row r="11" spans="1:37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</row>
    <row r="13" spans="1:37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</row>
    <row r="14" spans="1:37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2">
        <v>4</v>
      </c>
      <c r="AD14" s="82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</row>
    <row r="15" spans="1:37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</row>
    <row r="16" spans="1:37" ht="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>AF15+10*LOG10(AF4)</f>
        <v>53</v>
      </c>
      <c r="AG16" s="12">
        <f>AG15+10*LOG10(AG4)</f>
        <v>53</v>
      </c>
      <c r="AH16" s="12">
        <f>AH15+10*LOG10(AH4)</f>
        <v>53</v>
      </c>
      <c r="AI16" s="12">
        <f>AI15+10*LOG10(AI4)</f>
        <v>53</v>
      </c>
      <c r="AJ16" s="12">
        <f>AJ15+10*LOG10(AJ4)</f>
        <v>53</v>
      </c>
      <c r="AK16" s="12">
        <f>AK15+10*LOG10(AK4)</f>
        <v>53</v>
      </c>
    </row>
    <row r="17" spans="1:37" ht="30">
      <c r="A17" s="7" t="s">
        <v>35</v>
      </c>
      <c r="B17" s="12">
        <f t="shared" ref="B17:G17" si="4">B15+10*LOG10(B42/1000000)</f>
        <v>48.105450102066122</v>
      </c>
      <c r="C17" s="12">
        <f t="shared" si="4"/>
        <v>41.115750058705935</v>
      </c>
      <c r="D17" s="12">
        <f t="shared" si="4"/>
        <v>41.115750058705935</v>
      </c>
      <c r="E17" s="12">
        <f t="shared" si="4"/>
        <v>51.907562519182179</v>
      </c>
      <c r="F17" s="12"/>
      <c r="G17" s="12">
        <f t="shared" si="4"/>
        <v>44.997551772534749</v>
      </c>
      <c r="H17" s="71">
        <f t="shared" ref="H17:M17" si="5">H15+10*LOG10(H42/1000000)</f>
        <v>51.57332496431269</v>
      </c>
      <c r="I17" s="71">
        <f t="shared" si="5"/>
        <v>45.638726768652234</v>
      </c>
      <c r="J17" s="71">
        <f t="shared" si="5"/>
        <v>45.638726768652234</v>
      </c>
      <c r="K17" s="12">
        <f t="shared" si="5"/>
        <v>52.924651478080435</v>
      </c>
      <c r="L17" s="12">
        <f t="shared" si="5"/>
        <v>45.638726768652234</v>
      </c>
      <c r="M17" s="12">
        <f t="shared" si="5"/>
        <v>45.638726768652234</v>
      </c>
      <c r="N17" s="12">
        <f t="shared" ref="N17:S17" si="6">N15+10*LOG10(N42/1000000)</f>
        <v>48.816083660320572</v>
      </c>
      <c r="O17" s="12">
        <f t="shared" si="6"/>
        <v>42.365137424788934</v>
      </c>
      <c r="P17" s="12">
        <f t="shared" si="6"/>
        <v>42.365137424788934</v>
      </c>
      <c r="Q17" s="12">
        <f t="shared" si="6"/>
        <v>51.57332496431269</v>
      </c>
      <c r="R17" s="12">
        <f t="shared" si="6"/>
        <v>45.638726768652234</v>
      </c>
      <c r="S17" s="12">
        <f t="shared" si="6"/>
        <v>45.638726768652234</v>
      </c>
      <c r="T17" s="8">
        <f t="shared" ref="T17:Y17" si="7">T15+10*LOG10(T42/1000000)</f>
        <v>51.57332496431269</v>
      </c>
      <c r="U17" s="8">
        <f t="shared" si="7"/>
        <v>45.638726768652234</v>
      </c>
      <c r="V17" s="8">
        <f t="shared" si="7"/>
        <v>45.638726768652234</v>
      </c>
      <c r="W17" s="8">
        <f t="shared" si="7"/>
        <v>52.924651478080435</v>
      </c>
      <c r="X17" s="8">
        <f t="shared" si="7"/>
        <v>45.638726768652234</v>
      </c>
      <c r="Y17" s="8">
        <f t="shared" si="7"/>
        <v>45.638726768652234</v>
      </c>
      <c r="Z17" s="12">
        <f>Z15+10*LOG10(Z42/1000000)</f>
        <v>52.542425094393252</v>
      </c>
      <c r="AA17" s="12">
        <f>AA15+10*LOG10(AA42/1000000)</f>
        <v>45.552725051033065</v>
      </c>
      <c r="AB17" s="12">
        <f>AB15+10*LOG10(AB42/1000000)</f>
        <v>45.552725051033065</v>
      </c>
      <c r="AC17" s="12">
        <f>AC15+10*LOG10(AC42/1000000)</f>
        <v>52.908714048014858</v>
      </c>
      <c r="AD17" s="12">
        <f>AD15+10*LOG10(AD42/1000000)</f>
        <v>45.638726768652234</v>
      </c>
      <c r="AE17" s="12"/>
      <c r="AF17" s="12">
        <f>AF15+10*LOG10(AF42/1000000)</f>
        <v>48.563025007672877</v>
      </c>
      <c r="AG17" s="12">
        <f>AG15+10*LOG10(AG42/1000000)</f>
        <v>41.57332496431269</v>
      </c>
      <c r="AH17" s="12">
        <f>AH15+10*LOG10(AH42/1000000)</f>
        <v>41.57332496431269</v>
      </c>
      <c r="AI17" s="12">
        <f>AI15+10*LOG10(AI42/1000000)</f>
        <v>52.310508467773914</v>
      </c>
      <c r="AJ17" s="12">
        <f>AJ15+10*LOG10(AJ42/1000000)</f>
        <v>45.464985807958008</v>
      </c>
      <c r="AK17" s="12">
        <f>AK15+10*LOG10(AK42/1000000)</f>
        <v>45.464985807958008</v>
      </c>
    </row>
    <row r="18" spans="1:37" ht="45">
      <c r="A18" s="14" t="s">
        <v>37</v>
      </c>
      <c r="B18" s="12">
        <f t="shared" ref="B18:G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/>
      <c r="G18" s="12">
        <f t="shared" si="8"/>
        <v>9.8212125471966232</v>
      </c>
      <c r="H18" s="71">
        <f t="shared" ref="H18:M18" si="9">H19+10*LOG10(H12/H13)-H20</f>
        <v>12.771212547196624</v>
      </c>
      <c r="I18" s="71">
        <f t="shared" si="9"/>
        <v>12.771212547196624</v>
      </c>
      <c r="J18" s="71">
        <f t="shared" si="9"/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12.771212547196624</v>
      </c>
      <c r="N18" s="12">
        <f t="shared" ref="N18:S18" si="10">N19+10*LOG10(N12/N13)-N20</f>
        <v>10.121212547196624</v>
      </c>
      <c r="O18" s="12">
        <f t="shared" si="10"/>
        <v>10.121212547196624</v>
      </c>
      <c r="P18" s="12">
        <f t="shared" si="10"/>
        <v>10.121212547196624</v>
      </c>
      <c r="Q18" s="12">
        <f t="shared" si="10"/>
        <v>12.771212547196624</v>
      </c>
      <c r="R18" s="12">
        <f t="shared" si="10"/>
        <v>12.771212547196624</v>
      </c>
      <c r="S18" s="12">
        <f t="shared" si="10"/>
        <v>12.771212547196624</v>
      </c>
      <c r="T18" s="8">
        <f t="shared" ref="T18:Y18" si="11">T19+10*LOG10(T12/T13)-T20</f>
        <v>12.771212547196624</v>
      </c>
      <c r="U18" s="8">
        <f t="shared" si="11"/>
        <v>12.771212547196624</v>
      </c>
      <c r="V18" s="8">
        <f t="shared" si="11"/>
        <v>12.771212547196624</v>
      </c>
      <c r="W18" s="8">
        <f t="shared" si="11"/>
        <v>12.771212547196624</v>
      </c>
      <c r="X18" s="8">
        <f t="shared" si="11"/>
        <v>12.771212547196624</v>
      </c>
      <c r="Y18" s="8">
        <f t="shared" si="11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>AF19+10*LOG10(AF12/AF13)-AF20</f>
        <v>12.771212547196624</v>
      </c>
      <c r="AG18" s="12">
        <f>AG19+10*LOG10(AG12/AG13)-AG20</f>
        <v>12.771212547196624</v>
      </c>
      <c r="AH18" s="12">
        <f>AH19+10*LOG10(AH12/AH13)-AH20</f>
        <v>12.771212547196624</v>
      </c>
      <c r="AI18" s="12">
        <f>AI19+10*LOG10(AI12/AI13)-AI20</f>
        <v>12.771212547196624</v>
      </c>
      <c r="AJ18" s="12">
        <f>AJ19+10*LOG10(AJ12/AJ13)-AJ20</f>
        <v>12.771212547196624</v>
      </c>
      <c r="AK18" s="12">
        <f>AK19+10*LOG10(AK12/AK13)-AK20</f>
        <v>12.771212547196624</v>
      </c>
    </row>
    <row r="19" spans="1:3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</row>
    <row r="20" spans="1:37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2">10*LOG10(O13/O14)</f>
        <v>15.051499783199061</v>
      </c>
      <c r="P21" s="16">
        <f t="shared" si="12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</row>
    <row r="22" spans="1:3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</row>
    <row r="23" spans="1:3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</row>
    <row r="24" spans="1:3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</row>
    <row r="25" spans="1:3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/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</row>
    <row r="26" spans="1:37" ht="15">
      <c r="A26" s="7" t="s">
        <v>51</v>
      </c>
      <c r="B26" s="12">
        <f t="shared" ref="B26:G26" si="13">B17+B18+B21-B23-B24</f>
        <v>69.876662649262755</v>
      </c>
      <c r="C26" s="12">
        <f t="shared" si="13"/>
        <v>62.886962605902568</v>
      </c>
      <c r="D26" s="12">
        <f t="shared" si="13"/>
        <v>62.886962605902568</v>
      </c>
      <c r="E26" s="12">
        <f t="shared" si="13"/>
        <v>70.768775066378794</v>
      </c>
      <c r="F26" s="12"/>
      <c r="G26" s="12">
        <f t="shared" si="13"/>
        <v>63.858764319731364</v>
      </c>
      <c r="H26" s="71">
        <f t="shared" ref="H26:M26" si="14">H17+H18+H21-H23-H24</f>
        <v>73.344537511509316</v>
      </c>
      <c r="I26" s="71">
        <f t="shared" si="14"/>
        <v>67.40993931584886</v>
      </c>
      <c r="J26" s="71">
        <f t="shared" si="14"/>
        <v>67.40993931584886</v>
      </c>
      <c r="K26" s="12">
        <f t="shared" si="14"/>
        <v>74.695864025277061</v>
      </c>
      <c r="L26" s="12">
        <f t="shared" si="14"/>
        <v>67.40993931584886</v>
      </c>
      <c r="M26" s="12">
        <f t="shared" si="14"/>
        <v>67.40993931584886</v>
      </c>
      <c r="N26" s="12">
        <f t="shared" ref="N26:S26" si="15">N17+N18+N21-N23-N24</f>
        <v>70.988795990716255</v>
      </c>
      <c r="O26" s="12">
        <f t="shared" si="15"/>
        <v>64.537849755184624</v>
      </c>
      <c r="P26" s="12">
        <f t="shared" si="15"/>
        <v>64.537849755184624</v>
      </c>
      <c r="Q26" s="12">
        <f t="shared" si="15"/>
        <v>73.344537511509316</v>
      </c>
      <c r="R26" s="12">
        <f t="shared" si="15"/>
        <v>67.40993931584886</v>
      </c>
      <c r="S26" s="12">
        <f t="shared" si="15"/>
        <v>67.40993931584886</v>
      </c>
      <c r="T26" s="8">
        <f t="shared" ref="T26:Y26" si="16">T17+T18+T21-T23-T24</f>
        <v>73.344537511509316</v>
      </c>
      <c r="U26" s="8">
        <f t="shared" si="16"/>
        <v>67.40993931584886</v>
      </c>
      <c r="V26" s="8">
        <f t="shared" si="16"/>
        <v>67.40993931584886</v>
      </c>
      <c r="W26" s="8">
        <f t="shared" si="16"/>
        <v>77.745864025277058</v>
      </c>
      <c r="X26" s="8">
        <f t="shared" si="16"/>
        <v>70.459939315848857</v>
      </c>
      <c r="Y26" s="8">
        <f t="shared" si="16"/>
        <v>70.459939315848857</v>
      </c>
      <c r="Z26" s="12">
        <f>Z17+Z18+Z21-Z23-Z24</f>
        <v>74.313637641589878</v>
      </c>
      <c r="AA26" s="12">
        <f>AA17+AA18+AA21-AA23-AA24</f>
        <v>67.323937598229691</v>
      </c>
      <c r="AB26" s="12">
        <f>AB17+AB18+AB21-AB23-AB24</f>
        <v>67.323937598229691</v>
      </c>
      <c r="AC26" s="12">
        <f>AC17+AC18+AC21-AC23-AC24</f>
        <v>74.679926595211484</v>
      </c>
      <c r="AD26" s="12">
        <f>AD17+AD18+AD21-AD23-AD24</f>
        <v>67.40993931584886</v>
      </c>
      <c r="AE26" s="12"/>
      <c r="AF26" s="12">
        <f>AF17+AF18+AF21-AF23-AF24</f>
        <v>70.334237554869503</v>
      </c>
      <c r="AG26" s="12">
        <f>AG17+AG18+AG21-AG23-AG24</f>
        <v>63.344537511509316</v>
      </c>
      <c r="AH26" s="12">
        <f>AH17+AH18+AH21-AH23-AH24</f>
        <v>63.344537511509316</v>
      </c>
      <c r="AI26" s="12">
        <f>AI17+AI18+AI21-AI23-AI24</f>
        <v>74.08172101497054</v>
      </c>
      <c r="AJ26" s="12">
        <f>AJ17+AJ18+AJ21-AJ23-AJ24</f>
        <v>67.236198355154642</v>
      </c>
      <c r="AK26" s="12">
        <f>AK17+AK18+AK21-AK23-AK24</f>
        <v>67.236198355154642</v>
      </c>
    </row>
    <row r="27" spans="1:37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1:37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</row>
    <row r="29" spans="1:37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</row>
    <row r="30" spans="1:37" ht="45">
      <c r="A30" s="7" t="s">
        <v>56</v>
      </c>
      <c r="B30" s="12">
        <f t="shared" ref="B30:G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/>
      <c r="G30" s="12">
        <f t="shared" si="17"/>
        <v>-3</v>
      </c>
      <c r="H30" s="71">
        <f t="shared" ref="H30:M30" si="18">H31+10*LOG10(H28/H29)-H32</f>
        <v>0</v>
      </c>
      <c r="I30" s="71">
        <f t="shared" si="18"/>
        <v>-3</v>
      </c>
      <c r="J30" s="71">
        <f t="shared" si="18"/>
        <v>-3</v>
      </c>
      <c r="K30" s="12">
        <f t="shared" si="18"/>
        <v>0</v>
      </c>
      <c r="L30" s="12">
        <f t="shared" si="18"/>
        <v>-3</v>
      </c>
      <c r="M30" s="12">
        <f t="shared" si="18"/>
        <v>-3</v>
      </c>
      <c r="N30" s="12">
        <f t="shared" ref="N30:S30" si="19">N31+10*LOG10(N28/N29)-N32</f>
        <v>0</v>
      </c>
      <c r="O30" s="12">
        <f t="shared" si="19"/>
        <v>-3</v>
      </c>
      <c r="P30" s="12">
        <f t="shared" si="19"/>
        <v>-3</v>
      </c>
      <c r="Q30" s="12">
        <f t="shared" si="19"/>
        <v>0</v>
      </c>
      <c r="R30" s="12">
        <f t="shared" si="19"/>
        <v>-3</v>
      </c>
      <c r="S30" s="12">
        <f t="shared" si="19"/>
        <v>-3</v>
      </c>
      <c r="T30" s="8">
        <f t="shared" ref="T30:Y30" si="20">T31+10*LOG10(T28/T29)-T32</f>
        <v>0</v>
      </c>
      <c r="U30" s="8">
        <f t="shared" si="20"/>
        <v>-3</v>
      </c>
      <c r="V30" s="8">
        <f t="shared" si="20"/>
        <v>-3</v>
      </c>
      <c r="W30" s="8">
        <f t="shared" si="20"/>
        <v>0</v>
      </c>
      <c r="X30" s="8">
        <f t="shared" si="20"/>
        <v>-3</v>
      </c>
      <c r="Y30" s="8">
        <f t="shared" si="20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47">
        <f>AD31+10*LOG10(AD28/AD29)-AD32</f>
        <v>-3</v>
      </c>
      <c r="AE30" s="12"/>
      <c r="AF30" s="12">
        <f>AF31+10*LOG10(AF28/AF29)-AF32</f>
        <v>0</v>
      </c>
      <c r="AG30" s="12">
        <f>AG31+10*LOG10(AG28/AG29)-AG32</f>
        <v>-3</v>
      </c>
      <c r="AH30" s="12">
        <f>AH31+10*LOG10(AH28/AH29)-AH32</f>
        <v>-3</v>
      </c>
      <c r="AI30" s="12">
        <f>AI31+10*LOG10(AI28/AI29)-AI32</f>
        <v>0</v>
      </c>
      <c r="AJ30" s="12">
        <f>AJ31+10*LOG10(AJ28/AJ29)-AJ32</f>
        <v>-3</v>
      </c>
      <c r="AK30" s="12">
        <f>AK31+10*LOG10(AK28/AK29)-AK32</f>
        <v>-3</v>
      </c>
    </row>
    <row r="31" spans="1:3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47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</row>
    <row r="32" spans="1:37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</row>
    <row r="33" spans="1:37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</row>
    <row r="34" spans="1:3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</row>
    <row r="35" spans="1:3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</row>
    <row r="36" spans="1:3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</row>
    <row r="37" spans="1:37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/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</row>
    <row r="38" spans="1:37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  <c r="Z38" s="82">
        <v>-999</v>
      </c>
      <c r="AA38" s="82">
        <v>-999</v>
      </c>
      <c r="AB38" s="82">
        <v>-999</v>
      </c>
      <c r="AC38" s="82">
        <v>-169.3</v>
      </c>
      <c r="AD38" s="82">
        <v>-169.3</v>
      </c>
      <c r="AE38" s="82"/>
      <c r="AF38" s="82">
        <v>-999</v>
      </c>
      <c r="AG38" s="82">
        <v>-999</v>
      </c>
      <c r="AH38" s="82">
        <v>-999</v>
      </c>
      <c r="AI38" s="82">
        <v>-169.3</v>
      </c>
      <c r="AJ38" s="82">
        <v>-169.3</v>
      </c>
      <c r="AK38" s="82">
        <v>-169.3</v>
      </c>
    </row>
    <row r="39" spans="1:37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/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</row>
    <row r="40" spans="1:37" ht="30">
      <c r="A40" s="7" t="s">
        <v>107</v>
      </c>
      <c r="B40" s="12">
        <f t="shared" ref="B40:G40" si="21">10*LOG10(10^((B35+B36)/10)+10^(B38/10))</f>
        <v>-167.00000000000003</v>
      </c>
      <c r="C40" s="12">
        <f t="shared" si="21"/>
        <v>-167.00000000000003</v>
      </c>
      <c r="D40" s="12">
        <f t="shared" si="21"/>
        <v>-167.00000000000003</v>
      </c>
      <c r="E40" s="12">
        <f t="shared" si="21"/>
        <v>-167.00000000000003</v>
      </c>
      <c r="F40" s="12"/>
      <c r="G40" s="12">
        <f t="shared" si="21"/>
        <v>-167.00000000000003</v>
      </c>
      <c r="H40" s="71">
        <f t="shared" ref="H40:M40" si="22">10*LOG10(10^((H35+H36)/10)+10^(H38/10))</f>
        <v>-167.00000000000003</v>
      </c>
      <c r="I40" s="71">
        <f t="shared" si="22"/>
        <v>-167.00000000000003</v>
      </c>
      <c r="J40" s="71">
        <f t="shared" si="22"/>
        <v>-167.00000000000003</v>
      </c>
      <c r="K40" s="12">
        <f t="shared" si="22"/>
        <v>-167.00000000000003</v>
      </c>
      <c r="L40" s="12">
        <f t="shared" si="22"/>
        <v>-167.00000000000003</v>
      </c>
      <c r="M40" s="12">
        <f t="shared" si="22"/>
        <v>-167.00000000000003</v>
      </c>
      <c r="N40" s="12">
        <f t="shared" ref="N40:S40" si="23">10*LOG10(10^((N35+N36)/10)+10^(N38/10))</f>
        <v>-164.98918835931039</v>
      </c>
      <c r="O40" s="12">
        <f t="shared" si="23"/>
        <v>-164.98918835931039</v>
      </c>
      <c r="P40" s="12">
        <f t="shared" si="23"/>
        <v>-164.98918835931039</v>
      </c>
      <c r="Q40" s="12">
        <f t="shared" si="23"/>
        <v>-167.00000000000003</v>
      </c>
      <c r="R40" s="12">
        <f t="shared" si="23"/>
        <v>-167.00000000000003</v>
      </c>
      <c r="S40" s="12">
        <f t="shared" si="23"/>
        <v>-167.00000000000003</v>
      </c>
      <c r="T40" s="8">
        <f t="shared" ref="T40:Y40" si="24">10*LOG10(10^((T35+T36)/10)+10^(T38/10))</f>
        <v>-167.00000000000003</v>
      </c>
      <c r="U40" s="8">
        <f t="shared" si="24"/>
        <v>-167.00000000000003</v>
      </c>
      <c r="V40" s="8">
        <f t="shared" si="24"/>
        <v>-167.00000000000003</v>
      </c>
      <c r="W40" s="8">
        <f t="shared" si="24"/>
        <v>-164.98918835931039</v>
      </c>
      <c r="X40" s="8">
        <f t="shared" si="24"/>
        <v>-164.98918835931039</v>
      </c>
      <c r="Y40" s="8">
        <f t="shared" si="24"/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  <c r="AE40" s="12"/>
      <c r="AF40" s="12">
        <f>10*LOG10(10^((AF35+AF36)/10)+10^(AF38/10))</f>
        <v>-167.00000000000003</v>
      </c>
      <c r="AG40" s="12">
        <f>10*LOG10(10^((AG35+AG36)/10)+10^(AG38/10))</f>
        <v>-167.00000000000003</v>
      </c>
      <c r="AH40" s="12">
        <f>10*LOG10(10^((AH35+AH36)/10)+10^(AH38/10))</f>
        <v>-167.00000000000003</v>
      </c>
      <c r="AI40" s="12">
        <f>10*LOG10(10^((AI35+AI36)/10)+10^(AI38/10))</f>
        <v>-164.98918835931039</v>
      </c>
      <c r="AJ40" s="12">
        <f>10*LOG10(10^((AJ35+AJ36)/10)+10^(AJ38/10))</f>
        <v>-164.98918835931039</v>
      </c>
      <c r="AK40" s="12">
        <f>10*LOG10(10^((AK35+AK36)/10)+10^(AK38/10))</f>
        <v>-164.98918835931039</v>
      </c>
    </row>
    <row r="41" spans="1:37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/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</row>
    <row r="42" spans="1:37" ht="15">
      <c r="A42" s="28" t="s">
        <v>70</v>
      </c>
      <c r="B42" s="18">
        <f>90*360*1000</f>
        <v>32400000</v>
      </c>
      <c r="C42" s="18">
        <f t="shared" ref="C42:D42" si="25">18*360*1000</f>
        <v>6480000</v>
      </c>
      <c r="D42" s="18">
        <f t="shared" si="25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  <c r="Z42" s="16">
        <f>250*360*1000</f>
        <v>90000000</v>
      </c>
      <c r="AA42" s="16">
        <f>50*360*1000</f>
        <v>18000000</v>
      </c>
      <c r="AB42" s="16">
        <f>50*360*1000</f>
        <v>18000000</v>
      </c>
      <c r="AC42" s="16">
        <f>272*360*1000</f>
        <v>97920000</v>
      </c>
      <c r="AD42" s="16">
        <f>51*360*1000</f>
        <v>18360000</v>
      </c>
      <c r="AE42" s="16"/>
      <c r="AF42" s="16">
        <f>100*360*1000</f>
        <v>36000000</v>
      </c>
      <c r="AG42" s="16">
        <f>20*360*1000</f>
        <v>7200000</v>
      </c>
      <c r="AH42" s="16">
        <f>20*360*1000</f>
        <v>7200000</v>
      </c>
      <c r="AI42" s="16">
        <f>237*360*1000</f>
        <v>85320000</v>
      </c>
      <c r="AJ42" s="16">
        <f>49*360*1000</f>
        <v>17640000</v>
      </c>
      <c r="AK42" s="16">
        <f>49*360*1000</f>
        <v>17640000</v>
      </c>
    </row>
    <row r="43" spans="1:37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/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</row>
    <row r="44" spans="1:37" ht="15">
      <c r="A44" s="7" t="s">
        <v>72</v>
      </c>
      <c r="B44" s="12">
        <f t="shared" ref="B44:G44" si="26">B40+10*LOG10(B42)</f>
        <v>-91.894549897933913</v>
      </c>
      <c r="C44" s="12">
        <f t="shared" si="26"/>
        <v>-98.884249941294101</v>
      </c>
      <c r="D44" s="12">
        <f t="shared" si="26"/>
        <v>-98.884249941294101</v>
      </c>
      <c r="E44" s="12">
        <f t="shared" si="26"/>
        <v>-88.09243748081785</v>
      </c>
      <c r="F44" s="12"/>
      <c r="G44" s="12">
        <f t="shared" si="26"/>
        <v>-95.00244822746528</v>
      </c>
      <c r="H44" s="71">
        <f t="shared" ref="H44:M44" si="27">H40+10*LOG10(H42)</f>
        <v>-88.426675035687353</v>
      </c>
      <c r="I44" s="71">
        <f t="shared" si="27"/>
        <v>-94.361273231347795</v>
      </c>
      <c r="J44" s="71">
        <f t="shared" si="27"/>
        <v>-94.361273231347795</v>
      </c>
      <c r="K44" s="12">
        <f t="shared" si="27"/>
        <v>-87.075348521919594</v>
      </c>
      <c r="L44" s="12">
        <f t="shared" si="27"/>
        <v>-94.361273231347795</v>
      </c>
      <c r="M44" s="12">
        <f t="shared" si="27"/>
        <v>-94.361273231347795</v>
      </c>
      <c r="N44" s="12">
        <f t="shared" ref="N44:S44" si="28">N40+10*LOG10(N42)</f>
        <v>-89.173104698989818</v>
      </c>
      <c r="O44" s="12">
        <f t="shared" si="28"/>
        <v>-95.624050934521463</v>
      </c>
      <c r="P44" s="12">
        <f t="shared" si="28"/>
        <v>-95.624050934521463</v>
      </c>
      <c r="Q44" s="12">
        <f t="shared" si="28"/>
        <v>-88.426675035687353</v>
      </c>
      <c r="R44" s="12">
        <f t="shared" si="28"/>
        <v>-94.361273231347795</v>
      </c>
      <c r="S44" s="12">
        <f t="shared" si="28"/>
        <v>-94.361273231347795</v>
      </c>
      <c r="T44" s="8">
        <f t="shared" ref="T44:Y44" si="29">T40+10*LOG10(T42)</f>
        <v>-88.426675035687353</v>
      </c>
      <c r="U44" s="8">
        <f t="shared" si="29"/>
        <v>-94.361273231347795</v>
      </c>
      <c r="V44" s="8">
        <f t="shared" si="29"/>
        <v>-94.361273231347795</v>
      </c>
      <c r="W44" s="8">
        <f t="shared" si="29"/>
        <v>-85.064536881229955</v>
      </c>
      <c r="X44" s="8">
        <f t="shared" si="29"/>
        <v>-92.350461590658156</v>
      </c>
      <c r="Y44" s="8">
        <f t="shared" si="29"/>
        <v>-92.350461590658156</v>
      </c>
      <c r="Z44" s="12">
        <f>Z40+10*LOG10(Z42)</f>
        <v>-87.457574905606776</v>
      </c>
      <c r="AA44" s="12">
        <f>AA40+10*LOG10(AA42)</f>
        <v>-94.447274948966964</v>
      </c>
      <c r="AB44" s="12">
        <f>AB40+10*LOG10(AB42)</f>
        <v>-94.447274948966964</v>
      </c>
      <c r="AC44" s="12">
        <f>AC40+10*LOG10(AC42)</f>
        <v>-85.080474311295532</v>
      </c>
      <c r="AD44" s="12">
        <f>AD40+10*LOG10(AD42)</f>
        <v>-92.350461590658156</v>
      </c>
      <c r="AE44" s="12"/>
      <c r="AF44" s="12">
        <f>AF40+10*LOG10(AF42)</f>
        <v>-91.436974992327166</v>
      </c>
      <c r="AG44" s="12">
        <f>AG40+10*LOG10(AG42)</f>
        <v>-98.426675035687353</v>
      </c>
      <c r="AH44" s="12">
        <f>AH40+10*LOG10(AH42)</f>
        <v>-98.426675035687353</v>
      </c>
      <c r="AI44" s="12">
        <f>AI40+10*LOG10(AI42)</f>
        <v>-85.678679891536476</v>
      </c>
      <c r="AJ44" s="12">
        <f>AJ40+10*LOG10(AJ42)</f>
        <v>-92.524202551352388</v>
      </c>
      <c r="AK44" s="12">
        <f>AK40+10*LOG10(AK42)</f>
        <v>-92.524202551352388</v>
      </c>
    </row>
    <row r="45" spans="1:37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/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</row>
    <row r="46" spans="1:37" ht="15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  <c r="Z46" s="16">
        <v>-7.4</v>
      </c>
      <c r="AA46" s="16">
        <v>-4.08</v>
      </c>
      <c r="AB46" s="16">
        <v>0.08</v>
      </c>
      <c r="AC46" s="16">
        <v>-9.9</v>
      </c>
      <c r="AD46" s="16">
        <v>-7.3</v>
      </c>
      <c r="AE46" s="16"/>
      <c r="AF46" s="16">
        <v>-4.2</v>
      </c>
      <c r="AG46" s="16">
        <v>-0.9</v>
      </c>
      <c r="AH46" s="16">
        <v>2.9</v>
      </c>
      <c r="AI46" s="16">
        <v>-7.48</v>
      </c>
      <c r="AJ46" s="16">
        <v>-3.14</v>
      </c>
      <c r="AK46" s="16">
        <v>0.7</v>
      </c>
    </row>
    <row r="47" spans="1:3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</row>
    <row r="48" spans="1:37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/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</row>
    <row r="49" spans="1:3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/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</row>
    <row r="50" spans="1:3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/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</row>
    <row r="51" spans="1:37" ht="30">
      <c r="A51" s="7" t="s">
        <v>82</v>
      </c>
      <c r="B51" s="12">
        <f t="shared" ref="B51:G51" si="30">B44+B46+B47-B49</f>
        <v>-94.694549897933911</v>
      </c>
      <c r="C51" s="12">
        <f t="shared" si="30"/>
        <v>-97.784249941294107</v>
      </c>
      <c r="D51" s="12">
        <f t="shared" si="30"/>
        <v>-92.984249941294095</v>
      </c>
      <c r="E51" s="12">
        <f t="shared" si="30"/>
        <v>-97.872437480817851</v>
      </c>
      <c r="F51" s="12"/>
      <c r="G51" s="12">
        <f t="shared" si="30"/>
        <v>-100.90244822746529</v>
      </c>
      <c r="H51" s="71">
        <f t="shared" ref="H51:M51" si="31">H44+H46+H47-H49</f>
        <v>-97.576675035687359</v>
      </c>
      <c r="I51" s="71">
        <f t="shared" si="31"/>
        <v>-101.2312732313478</v>
      </c>
      <c r="J51" s="71">
        <f t="shared" si="31"/>
        <v>-98.6212732313478</v>
      </c>
      <c r="K51" s="12">
        <f t="shared" si="31"/>
        <v>-93.875348521919591</v>
      </c>
      <c r="L51" s="12">
        <f t="shared" si="31"/>
        <v>-98.24127323134779</v>
      </c>
      <c r="M51" s="12">
        <f t="shared" si="31"/>
        <v>-94.391273231347796</v>
      </c>
      <c r="N51" s="12">
        <f t="shared" ref="N51:S51" si="32">N44+N46+N47-N49</f>
        <v>-91.963104698989824</v>
      </c>
      <c r="O51" s="12">
        <f t="shared" si="32"/>
        <v>-94.394050934521459</v>
      </c>
      <c r="P51" s="12">
        <f t="shared" si="32"/>
        <v>-90.084050934521457</v>
      </c>
      <c r="Q51" s="12">
        <f t="shared" si="32"/>
        <v>-96.026675035687347</v>
      </c>
      <c r="R51" s="12">
        <f t="shared" si="32"/>
        <v>-97.461273231347789</v>
      </c>
      <c r="S51" s="12">
        <f t="shared" si="32"/>
        <v>-93.861273231347795</v>
      </c>
      <c r="T51" s="8">
        <f t="shared" ref="T51:Y51" si="33">T44+T46+T47-T49</f>
        <v>-91.926675035687353</v>
      </c>
      <c r="U51" s="8">
        <f t="shared" si="33"/>
        <v>-95.861273231347795</v>
      </c>
      <c r="V51" s="8">
        <f t="shared" si="33"/>
        <v>-93.861273231347795</v>
      </c>
      <c r="W51" s="8">
        <f t="shared" si="33"/>
        <v>-90.064536881229955</v>
      </c>
      <c r="X51" s="8">
        <f t="shared" si="33"/>
        <v>-93.850461590658156</v>
      </c>
      <c r="Y51" s="8">
        <f t="shared" si="33"/>
        <v>-90.350461590658156</v>
      </c>
      <c r="Z51" s="12">
        <f>Z44+Z46+Z47-Z49</f>
        <v>-92.857574905606782</v>
      </c>
      <c r="AA51" s="12">
        <f>AA44+AA46+AA47-AA49</f>
        <v>-96.527274948966962</v>
      </c>
      <c r="AB51" s="12">
        <f>AB44+AB46+AB47-AB49</f>
        <v>-92.367274948966966</v>
      </c>
      <c r="AC51" s="12">
        <f>AC44+AC46+AC47-AC49</f>
        <v>-92.980474311295538</v>
      </c>
      <c r="AD51" s="12">
        <f>AD44+AD46+AD47-AD49</f>
        <v>-97.650461590658153</v>
      </c>
      <c r="AE51" s="12"/>
      <c r="AF51" s="12">
        <f>AF44+AF46+AF47-AF49</f>
        <v>-93.636974992327168</v>
      </c>
      <c r="AG51" s="12">
        <f>AG44+AG46+AG47-AG49</f>
        <v>-97.326675035687359</v>
      </c>
      <c r="AH51" s="12">
        <f>AH44+AH46+AH47-AH49</f>
        <v>-93.526675035687347</v>
      </c>
      <c r="AI51" s="12">
        <f>AI44+AI46+AI47-AI49</f>
        <v>-91.15867989153648</v>
      </c>
      <c r="AJ51" s="12">
        <f>AJ44+AJ46+AJ47-AJ49</f>
        <v>-93.664202551352389</v>
      </c>
      <c r="AK51" s="12">
        <f>AK44+AK46+AK47-AK49</f>
        <v>-89.824202551352386</v>
      </c>
    </row>
    <row r="52" spans="1:37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 t="s">
        <v>16</v>
      </c>
      <c r="AE52" s="24"/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24" t="s">
        <v>16</v>
      </c>
    </row>
    <row r="53" spans="1:37" ht="30">
      <c r="A53" s="29" t="s">
        <v>85</v>
      </c>
      <c r="B53" s="22">
        <f>B26+B30+B33-B34-B51</f>
        <v>163.57121254719667</v>
      </c>
      <c r="C53" s="22">
        <f t="shared" ref="C53:G53" si="34">C26+C30+C33-C34-C51</f>
        <v>156.67121254719666</v>
      </c>
      <c r="D53" s="22">
        <f t="shared" si="34"/>
        <v>151.87121254719665</v>
      </c>
      <c r="E53" s="22">
        <f t="shared" si="34"/>
        <v>167.64121254719663</v>
      </c>
      <c r="F53" s="22"/>
      <c r="G53" s="22">
        <f t="shared" si="34"/>
        <v>160.76121254719664</v>
      </c>
      <c r="H53" s="76">
        <f>H26+H30+H33-H34-H51</f>
        <v>169.92121254719666</v>
      </c>
      <c r="I53" s="76">
        <f t="shared" ref="I53:J53" si="35">I26+I30+I33-I34-I51</f>
        <v>164.64121254719666</v>
      </c>
      <c r="J53" s="76">
        <f t="shared" si="35"/>
        <v>162.03121254719667</v>
      </c>
      <c r="K53" s="22">
        <f>K26+K30+K33-K34-K51</f>
        <v>167.57121254719664</v>
      </c>
      <c r="L53" s="22">
        <f t="shared" ref="L53:M53" si="36">L26+L30+L33-L34-L51</f>
        <v>161.65121254719665</v>
      </c>
      <c r="M53" s="22">
        <f t="shared" si="36"/>
        <v>157.80121254719666</v>
      </c>
      <c r="N53" s="22">
        <f>N26+N30+N33-N34-N51</f>
        <v>161.95190068970606</v>
      </c>
      <c r="O53" s="22">
        <f t="shared" ref="O53:P53" si="37">O26+O30+O33-O34-O51</f>
        <v>154.93190068970608</v>
      </c>
      <c r="P53" s="22">
        <f t="shared" si="37"/>
        <v>150.62190068970608</v>
      </c>
      <c r="Q53" s="22">
        <f>Q26+Q30+Q33-Q34-Q51</f>
        <v>168.37121254719665</v>
      </c>
      <c r="R53" s="22">
        <f t="shared" ref="R53:S53" si="38">R26+R30+R33-R34-R51</f>
        <v>160.87121254719665</v>
      </c>
      <c r="S53" s="22">
        <f t="shared" si="38"/>
        <v>157.27121254719665</v>
      </c>
      <c r="T53" s="22">
        <f>T26+T30+T33-T34-T51</f>
        <v>164.27121254719668</v>
      </c>
      <c r="U53" s="22">
        <f t="shared" ref="U53:V53" si="39">U26+U30+U33-U34-U51</f>
        <v>159.27121254719665</v>
      </c>
      <c r="V53" s="22">
        <f t="shared" si="39"/>
        <v>157.27121254719665</v>
      </c>
      <c r="W53" s="22">
        <f>W26+W30+W33-W34-W51</f>
        <v>166.81040090650703</v>
      </c>
      <c r="X53" s="22">
        <f t="shared" ref="X53:Y53" si="40">X26+X30+X33-X34-X51</f>
        <v>160.31040090650703</v>
      </c>
      <c r="Y53" s="22">
        <f t="shared" si="40"/>
        <v>156.81040090650703</v>
      </c>
      <c r="Z53" s="22">
        <f>Z26+Z30+Z33-Z34-Z51</f>
        <v>166.17121254719666</v>
      </c>
      <c r="AA53" s="22">
        <f t="shared" ref="AA53:AB53" si="41">AA26+AA30+AA33-AA34-AA51</f>
        <v>159.85121254719667</v>
      </c>
      <c r="AB53" s="22">
        <f t="shared" si="41"/>
        <v>155.69121254719664</v>
      </c>
      <c r="AC53" s="22">
        <f>AC26+AC30+AC33-AC34-AC51</f>
        <v>166.66040090650702</v>
      </c>
      <c r="AD53" s="22">
        <f t="shared" ref="AD53" si="42">AD26+AD30+AD33-AD34-AD51</f>
        <v>161.06040090650703</v>
      </c>
      <c r="AE53" s="22"/>
      <c r="AF53" s="22">
        <f>AF26+AF30+AF33-AF34-AF51</f>
        <v>162.97121254719667</v>
      </c>
      <c r="AG53" s="22">
        <f t="shared" ref="AG53:AH53" si="43">AG26+AG30+AG33-AG34-AG51</f>
        <v>156.67121254719666</v>
      </c>
      <c r="AH53" s="22">
        <f t="shared" si="43"/>
        <v>152.87121254719665</v>
      </c>
      <c r="AI53" s="22">
        <f>AI26+AI30+AI33-AI34-AI51</f>
        <v>164.24040090650703</v>
      </c>
      <c r="AJ53" s="22">
        <f t="shared" ref="AJ53:AK53" si="44">AJ26+AJ30+AJ33-AJ34-AJ51</f>
        <v>156.90040090650703</v>
      </c>
      <c r="AK53" s="22">
        <f t="shared" si="44"/>
        <v>153.06040090650703</v>
      </c>
    </row>
    <row r="54" spans="1:37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</row>
    <row r="56" spans="1:37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 t="s">
        <v>16</v>
      </c>
      <c r="AE56" s="25"/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25" t="s">
        <v>16</v>
      </c>
    </row>
    <row r="57" spans="1:37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/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</row>
    <row r="58" spans="1:37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</row>
    <row r="59" spans="1:37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</row>
    <row r="60" spans="1:37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</row>
    <row r="61" spans="1:37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 t="s">
        <v>16</v>
      </c>
      <c r="AE61" s="24"/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24" t="s">
        <v>16</v>
      </c>
    </row>
    <row r="62" spans="1:37" ht="30">
      <c r="A62" s="29" t="s">
        <v>109</v>
      </c>
      <c r="B62" s="22">
        <f>B53-B57+B58-B59+B60</f>
        <v>132.84121254719668</v>
      </c>
      <c r="C62" s="22">
        <f t="shared" ref="C62:G62" si="45">C53-C57+C58-C59+C60</f>
        <v>125.94121254719667</v>
      </c>
      <c r="D62" s="22">
        <f t="shared" si="45"/>
        <v>121.14121254719666</v>
      </c>
      <c r="E62" s="22">
        <f t="shared" si="45"/>
        <v>136.91121254719664</v>
      </c>
      <c r="F62" s="22"/>
      <c r="G62" s="22">
        <f t="shared" si="45"/>
        <v>130.03121254719665</v>
      </c>
      <c r="H62" s="76">
        <f>H53-H57+H58-H59+H60</f>
        <v>139.19121254719667</v>
      </c>
      <c r="I62" s="76">
        <f t="shared" ref="I62:J62" si="46">I53-I57+I58-I59+I60</f>
        <v>133.91121254719667</v>
      </c>
      <c r="J62" s="76">
        <f t="shared" si="46"/>
        <v>131.30121254719668</v>
      </c>
      <c r="K62" s="22">
        <f>K53-K57+K58-K59+K60</f>
        <v>136.84121254719665</v>
      </c>
      <c r="L62" s="22">
        <f t="shared" ref="L62:M62" si="47">L53-L57+L58-L59+L60</f>
        <v>130.92121254719666</v>
      </c>
      <c r="M62" s="22">
        <f t="shared" si="47"/>
        <v>127.07121254719667</v>
      </c>
      <c r="N62" s="22">
        <f>N53-N57+N58-N59+N60</f>
        <v>131.22190068970608</v>
      </c>
      <c r="O62" s="22">
        <f t="shared" ref="O62:P62" si="48">O53-O57+O58-O59+O60</f>
        <v>124.20190068970609</v>
      </c>
      <c r="P62" s="22">
        <f t="shared" si="48"/>
        <v>119.89190068970609</v>
      </c>
      <c r="Q62" s="22">
        <f>Q53-Q57+Q58-Q59+Q60</f>
        <v>137.64121254719666</v>
      </c>
      <c r="R62" s="22">
        <f t="shared" ref="R62:S62" si="49">R53-R57+R58-R59+R60</f>
        <v>130.14121254719666</v>
      </c>
      <c r="S62" s="22">
        <f t="shared" si="49"/>
        <v>126.54121254719666</v>
      </c>
      <c r="T62" s="22">
        <f>T53-T57+T58-T59+T60</f>
        <v>133.54121254719669</v>
      </c>
      <c r="U62" s="22">
        <f t="shared" ref="U62:V62" si="50">U53-U57+U58-U59+U60</f>
        <v>128.54121254719666</v>
      </c>
      <c r="V62" s="22">
        <f t="shared" si="50"/>
        <v>126.54121254719666</v>
      </c>
      <c r="W62" s="22">
        <f>W53-W57+W58-W59+W60</f>
        <v>136.08040090650704</v>
      </c>
      <c r="X62" s="22">
        <f t="shared" ref="X62:Y62" si="51">X53-X57+X58-X59+X60</f>
        <v>129.58040090650704</v>
      </c>
      <c r="Y62" s="22">
        <f t="shared" si="51"/>
        <v>126.08040090650704</v>
      </c>
      <c r="Z62" s="22">
        <f>Z53-Z57+Z58-Z59+Z60</f>
        <v>135.44121254719667</v>
      </c>
      <c r="AA62" s="22">
        <f t="shared" ref="AA62:AB62" si="52">AA53-AA57+AA58-AA59+AA60</f>
        <v>129.12121254719668</v>
      </c>
      <c r="AB62" s="22">
        <f t="shared" si="52"/>
        <v>124.96121254719665</v>
      </c>
      <c r="AC62" s="22">
        <f>AC53-AC57+AC58-AC59+AC60</f>
        <v>135.93040090650703</v>
      </c>
      <c r="AD62" s="22">
        <f t="shared" ref="AD62" si="53">AD53-AD57+AD58-AD59+AD60</f>
        <v>130.33040090650704</v>
      </c>
      <c r="AE62" s="22"/>
      <c r="AF62" s="22">
        <f>AF53-AF57+AF58-AF59+AF60</f>
        <v>132.24121254719668</v>
      </c>
      <c r="AG62" s="22">
        <f t="shared" ref="AG62:AH62" si="54">AG53-AG57+AG58-AG59+AG60</f>
        <v>125.94121254719667</v>
      </c>
      <c r="AH62" s="22">
        <f t="shared" si="54"/>
        <v>122.14121254719666</v>
      </c>
      <c r="AI62" s="22">
        <f>AI53-AI57+AI58-AI59+AI60</f>
        <v>136.51040090650704</v>
      </c>
      <c r="AJ62" s="22">
        <f t="shared" ref="AJ62:AK62" si="55">AJ53-AJ57+AJ58-AJ59+AJ60</f>
        <v>129.17040090650704</v>
      </c>
      <c r="AK62" s="22">
        <f t="shared" si="55"/>
        <v>125.33040090650704</v>
      </c>
    </row>
    <row r="63" spans="1:37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</row>
    <row r="64" spans="1:37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 t="s">
        <v>16</v>
      </c>
      <c r="AE64" s="24"/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24" t="s">
        <v>16</v>
      </c>
    </row>
    <row r="65" spans="1:37" ht="15">
      <c r="A65" s="29" t="s">
        <v>98</v>
      </c>
      <c r="B65" s="22">
        <f t="shared" ref="B65:G65" si="56">B17-B23-B51+B21+B33</f>
        <v>154.80000000000004</v>
      </c>
      <c r="C65" s="22">
        <f t="shared" si="56"/>
        <v>150.90000000000003</v>
      </c>
      <c r="D65" s="22">
        <f t="shared" si="56"/>
        <v>146.10000000000002</v>
      </c>
      <c r="E65" s="22">
        <f t="shared" si="56"/>
        <v>161.82000000000002</v>
      </c>
      <c r="F65" s="22"/>
      <c r="G65" s="22">
        <f t="shared" si="56"/>
        <v>157.94000000000003</v>
      </c>
      <c r="H65" s="76">
        <f t="shared" ref="H65:M65" si="57">H17-H23-H51+H21+H33</f>
        <v>161.15000000000003</v>
      </c>
      <c r="I65" s="76">
        <f t="shared" si="57"/>
        <v>158.87000000000003</v>
      </c>
      <c r="J65" s="76">
        <f t="shared" si="57"/>
        <v>156.26000000000005</v>
      </c>
      <c r="K65" s="22">
        <f t="shared" si="57"/>
        <v>158.80000000000001</v>
      </c>
      <c r="L65" s="22">
        <f t="shared" si="57"/>
        <v>155.88000000000002</v>
      </c>
      <c r="M65" s="22">
        <f t="shared" si="57"/>
        <v>152.03000000000003</v>
      </c>
      <c r="N65" s="22">
        <f t="shared" ref="N65:S65" si="58">N17-N23-N51+N21+N33</f>
        <v>155.83068814250947</v>
      </c>
      <c r="O65" s="22">
        <f t="shared" si="58"/>
        <v>151.81068814250946</v>
      </c>
      <c r="P65" s="22">
        <f t="shared" si="58"/>
        <v>147.50068814250946</v>
      </c>
      <c r="Q65" s="22">
        <f t="shared" si="58"/>
        <v>159.60000000000002</v>
      </c>
      <c r="R65" s="22">
        <f t="shared" si="58"/>
        <v>155.10000000000002</v>
      </c>
      <c r="S65" s="22">
        <f t="shared" si="58"/>
        <v>151.50000000000003</v>
      </c>
      <c r="T65" s="22">
        <f t="shared" ref="T65:Y65" si="59">T17-T23-T51+T21+T33</f>
        <v>155.50000000000006</v>
      </c>
      <c r="U65" s="22">
        <f t="shared" si="59"/>
        <v>153.50000000000003</v>
      </c>
      <c r="V65" s="22">
        <f t="shared" si="59"/>
        <v>151.50000000000003</v>
      </c>
      <c r="W65" s="22">
        <f t="shared" si="59"/>
        <v>158.0391883593104</v>
      </c>
      <c r="X65" s="22">
        <f t="shared" si="59"/>
        <v>154.5391883593104</v>
      </c>
      <c r="Y65" s="22">
        <f t="shared" si="59"/>
        <v>151.0391883593104</v>
      </c>
      <c r="Z65" s="22">
        <f>Z17-Z23-Z51+Z21+Z33</f>
        <v>157.40000000000003</v>
      </c>
      <c r="AA65" s="22">
        <f>AA17-AA23-AA51+AA21+AA33</f>
        <v>154.08000000000004</v>
      </c>
      <c r="AB65" s="22">
        <f>AB17-AB23-AB51+AB21+AB33</f>
        <v>149.92000000000002</v>
      </c>
      <c r="AC65" s="22">
        <f>AC17-AC23-AC51+AC21+AC33</f>
        <v>157.8891883593104</v>
      </c>
      <c r="AD65" s="22">
        <f>AD17-AD23-AD51+AD21+AD33</f>
        <v>155.2891883593104</v>
      </c>
      <c r="AE65" s="22"/>
      <c r="AF65" s="22">
        <f>AF17-AF23-AF51+AF21+AF33</f>
        <v>154.20000000000005</v>
      </c>
      <c r="AG65" s="22">
        <f>AG17-AG23-AG51+AG21+AG33</f>
        <v>150.90000000000003</v>
      </c>
      <c r="AH65" s="22">
        <f>AH17-AH23-AH51+AH21+AH33</f>
        <v>147.10000000000002</v>
      </c>
      <c r="AI65" s="22">
        <f>AI17-AI23-AI51+AI21+AI33</f>
        <v>155.46918835931041</v>
      </c>
      <c r="AJ65" s="22">
        <f>AJ17-AJ23-AJ51+AJ21+AJ33</f>
        <v>151.1291883593104</v>
      </c>
      <c r="AK65" s="22">
        <f>AK17-AK23-AK51+AK21+AK33</f>
        <v>147.2891883593104</v>
      </c>
    </row>
  </sheetData>
  <mergeCells count="12"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zoomScale="70" zoomScaleNormal="70" workbookViewId="0">
      <pane xSplit="1" ySplit="1" topLeftCell="AE2" activePane="bottomRight" state="frozen"/>
      <selection pane="topRight"/>
      <selection pane="bottomLeft"/>
      <selection pane="bottomRight" activeCell="AI1" sqref="AI1:AK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6" width="15.625" style="1" customWidth="1"/>
    <col min="17" max="17" width="12.25" style="1" bestFit="1" customWidth="1"/>
    <col min="18" max="19" width="15.625" style="1" bestFit="1" customWidth="1"/>
    <col min="20" max="20" width="16.25" style="1" customWidth="1"/>
    <col min="21" max="21" width="15" style="1" customWidth="1"/>
    <col min="22" max="22" width="15.5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31" width="15.5" style="1" customWidth="1"/>
    <col min="32" max="32" width="12.75" style="1" bestFit="1" customWidth="1"/>
    <col min="33" max="34" width="15.75" style="1" bestFit="1" customWidth="1"/>
    <col min="35" max="35" width="15.625" style="2" customWidth="1"/>
    <col min="36" max="37" width="15.625" style="1" customWidth="1"/>
    <col min="38" max="16384" width="9" style="1"/>
  </cols>
  <sheetData>
    <row r="1" spans="1:37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115</v>
      </c>
      <c r="O1" s="90"/>
      <c r="P1" s="90"/>
      <c r="Q1" s="90" t="s">
        <v>124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131</v>
      </c>
      <c r="AD1" s="90"/>
      <c r="AE1" s="90"/>
      <c r="AF1" s="90" t="s">
        <v>137</v>
      </c>
      <c r="AG1" s="90"/>
      <c r="AH1" s="90"/>
      <c r="AI1" s="90" t="s">
        <v>139</v>
      </c>
      <c r="AJ1" s="90"/>
      <c r="AK1" s="90"/>
    </row>
    <row r="2" spans="1:37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</row>
    <row r="3" spans="1:3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</row>
    <row r="4" spans="1:3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</row>
    <row r="5" spans="1:3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</row>
    <row r="6" spans="1:3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/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</row>
    <row r="7" spans="1:37" ht="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>
        <v>0.01</v>
      </c>
      <c r="AE7" s="26"/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26">
        <v>0.01</v>
      </c>
    </row>
    <row r="8" spans="1:3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/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</row>
    <row r="9" spans="1:3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</row>
    <row r="10" spans="1:3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</row>
    <row r="11" spans="1:37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</row>
    <row r="13" spans="1:37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</row>
    <row r="14" spans="1:37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3">
        <v>4</v>
      </c>
      <c r="AD14" s="83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</row>
    <row r="15" spans="1:37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</row>
    <row r="16" spans="1:37" ht="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>AF15+10*LOG10(AF4)</f>
        <v>53</v>
      </c>
      <c r="AG16" s="12">
        <f>AG15+10*LOG10(AG4)</f>
        <v>53</v>
      </c>
      <c r="AH16" s="12">
        <f>AH15+10*LOG10(AH4)</f>
        <v>53</v>
      </c>
      <c r="AI16" s="12">
        <f>AI15+10*LOG10(AI4)</f>
        <v>53</v>
      </c>
      <c r="AJ16" s="12">
        <f>AJ15+10*LOG10(AJ4)</f>
        <v>53</v>
      </c>
      <c r="AK16" s="12">
        <f>AK15+10*LOG10(AK4)</f>
        <v>53</v>
      </c>
    </row>
    <row r="17" spans="1:37" ht="30">
      <c r="A17" s="7" t="s">
        <v>35</v>
      </c>
      <c r="B17" s="12">
        <f t="shared" ref="B17:G17" si="4">B15+10*LOG10(B41/1000000)</f>
        <v>45.375437381428746</v>
      </c>
      <c r="C17" s="12">
        <f t="shared" si="4"/>
        <v>45.375437381428746</v>
      </c>
      <c r="D17" s="12">
        <f t="shared" si="4"/>
        <v>45.375437381428746</v>
      </c>
      <c r="E17" s="12">
        <f t="shared" si="4"/>
        <v>45.375437381428746</v>
      </c>
      <c r="F17" s="12"/>
      <c r="G17" s="12">
        <f t="shared" si="4"/>
        <v>45.375437381428746</v>
      </c>
      <c r="H17" s="71">
        <f t="shared" ref="H17:M17" si="5">H15+10*LOG10(H41/1000000)</f>
        <v>45.375437381428746</v>
      </c>
      <c r="I17" s="71">
        <f t="shared" si="5"/>
        <v>45.375437381428746</v>
      </c>
      <c r="J17" s="71">
        <f t="shared" si="5"/>
        <v>45.375437381428746</v>
      </c>
      <c r="K17" s="12">
        <f t="shared" si="5"/>
        <v>45.375437381428746</v>
      </c>
      <c r="L17" s="12">
        <f t="shared" si="5"/>
        <v>45.375437381428746</v>
      </c>
      <c r="M17" s="12">
        <f t="shared" si="5"/>
        <v>45.375437381428746</v>
      </c>
      <c r="N17" s="12">
        <f t="shared" ref="N17:S17" si="6">N15+10*LOG10(N41/1000000)</f>
        <v>45.375437381428746</v>
      </c>
      <c r="O17" s="12">
        <f t="shared" si="6"/>
        <v>45.375437381428746</v>
      </c>
      <c r="P17" s="12">
        <f t="shared" si="6"/>
        <v>45.375437381428746</v>
      </c>
      <c r="Q17" s="12">
        <f t="shared" si="6"/>
        <v>45.375437381428746</v>
      </c>
      <c r="R17" s="12">
        <f t="shared" si="6"/>
        <v>45.375437381428746</v>
      </c>
      <c r="S17" s="12">
        <f t="shared" si="6"/>
        <v>45.375437381428746</v>
      </c>
      <c r="T17" s="8">
        <f t="shared" ref="T17:Y17" si="7">T15+10*LOG10(T41/1000000)</f>
        <v>45.375437381428746</v>
      </c>
      <c r="U17" s="8">
        <f t="shared" si="7"/>
        <v>45.375437381428746</v>
      </c>
      <c r="V17" s="8">
        <f t="shared" si="7"/>
        <v>45.375437381428746</v>
      </c>
      <c r="W17" s="8">
        <f t="shared" si="7"/>
        <v>45.375437381428746</v>
      </c>
      <c r="X17" s="8">
        <f t="shared" si="7"/>
        <v>45.375437381428746</v>
      </c>
      <c r="Y17" s="8">
        <f t="shared" si="7"/>
        <v>45.375437381428746</v>
      </c>
      <c r="Z17" s="12">
        <f>Z15+10*LOG10(Z41/1000000)</f>
        <v>45.375437381428746</v>
      </c>
      <c r="AA17" s="12">
        <f>AA15+10*LOG10(AA41/1000000)</f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>
        <f>AD15+10*LOG10(AD41/1000000)</f>
        <v>45.375437381428746</v>
      </c>
      <c r="AE17" s="12"/>
      <c r="AF17" s="12">
        <f>AF15+10*LOG10(AF41/1000000)</f>
        <v>45.375437381428746</v>
      </c>
      <c r="AG17" s="12">
        <f>AG15+10*LOG10(AG41/1000000)</f>
        <v>45.375437381428746</v>
      </c>
      <c r="AH17" s="12">
        <f>AH15+10*LOG10(AH41/1000000)</f>
        <v>45.375437381428746</v>
      </c>
      <c r="AI17" s="12">
        <f>AI15+10*LOG10(AI41/1000000)</f>
        <v>45.375437381428746</v>
      </c>
      <c r="AJ17" s="12">
        <f>AJ15+10*LOG10(AJ41/1000000)</f>
        <v>45.375437381428746</v>
      </c>
      <c r="AK17" s="12">
        <f>AK15+10*LOG10(AK41/1000000)</f>
        <v>45.375437381428746</v>
      </c>
    </row>
    <row r="18" spans="1:37" ht="45">
      <c r="A18" s="14" t="s">
        <v>37</v>
      </c>
      <c r="B18" s="12">
        <f t="shared" ref="B18:G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/>
      <c r="G18" s="12">
        <f t="shared" si="8"/>
        <v>9.8212125471966232</v>
      </c>
      <c r="H18" s="71">
        <f t="shared" ref="H18:M18" si="9">H19+10*LOG10(H12/H13)-H20</f>
        <v>12.771212547196624</v>
      </c>
      <c r="I18" s="71">
        <f t="shared" si="9"/>
        <v>12.771212547196624</v>
      </c>
      <c r="J18" s="71">
        <f t="shared" si="9"/>
        <v>12.771212547196624</v>
      </c>
      <c r="K18" s="12">
        <f t="shared" si="9"/>
        <v>12.771212547196624</v>
      </c>
      <c r="L18" s="12">
        <f t="shared" si="9"/>
        <v>12.771212547196624</v>
      </c>
      <c r="M18" s="12">
        <f t="shared" si="9"/>
        <v>12.771212547196624</v>
      </c>
      <c r="N18" s="12">
        <f t="shared" ref="N18:S18" si="10">N19+10*LOG10(N12/N13)-N20</f>
        <v>10.121212547196624</v>
      </c>
      <c r="O18" s="12">
        <f t="shared" si="10"/>
        <v>10.121212547196624</v>
      </c>
      <c r="P18" s="12">
        <f t="shared" si="10"/>
        <v>10.121212547196624</v>
      </c>
      <c r="Q18" s="12">
        <f t="shared" si="10"/>
        <v>12.771212547196624</v>
      </c>
      <c r="R18" s="12">
        <f t="shared" si="10"/>
        <v>12.771212547196624</v>
      </c>
      <c r="S18" s="12">
        <f t="shared" si="10"/>
        <v>12.771212547196624</v>
      </c>
      <c r="T18" s="8">
        <f t="shared" ref="T18:Y18" si="11">T19+10*LOG10(T12/T13)-T20</f>
        <v>12.771212547196624</v>
      </c>
      <c r="U18" s="8">
        <f t="shared" si="11"/>
        <v>12.771212547196624</v>
      </c>
      <c r="V18" s="8">
        <f t="shared" si="11"/>
        <v>12.771212547196624</v>
      </c>
      <c r="W18" s="8">
        <f t="shared" si="11"/>
        <v>12.771212547196624</v>
      </c>
      <c r="X18" s="8">
        <f t="shared" si="11"/>
        <v>12.771212547196624</v>
      </c>
      <c r="Y18" s="8">
        <f t="shared" si="11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>AF19+10*LOG10(AF12/AF13)-AF20</f>
        <v>12.771212547196624</v>
      </c>
      <c r="AG18" s="12">
        <f>AG19+10*LOG10(AG12/AG13)-AG20</f>
        <v>12.771212547196624</v>
      </c>
      <c r="AH18" s="12">
        <f>AH19+10*LOG10(AH12/AH13)-AH20</f>
        <v>12.771212547196624</v>
      </c>
      <c r="AI18" s="12">
        <f>AI19+10*LOG10(AI12/AI13)-AI20</f>
        <v>12.771212547196624</v>
      </c>
      <c r="AJ18" s="12">
        <f>AJ19+10*LOG10(AJ12/AJ13)-AJ20</f>
        <v>12.771212547196624</v>
      </c>
      <c r="AK18" s="12">
        <f>AK19+10*LOG10(AK12/AK13)-AK20</f>
        <v>12.771212547196624</v>
      </c>
    </row>
    <row r="19" spans="1:3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47">
        <v>8</v>
      </c>
      <c r="AD19" s="47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</row>
    <row r="20" spans="1:37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12">10*LOG10(O13/O14)</f>
        <v>15.051499783199061</v>
      </c>
      <c r="P21" s="16">
        <f t="shared" si="12"/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</row>
    <row r="22" spans="1:3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</row>
    <row r="23" spans="1:3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</row>
    <row r="24" spans="1:3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</row>
    <row r="25" spans="1:37" ht="15">
      <c r="A25" s="7" t="s">
        <v>49</v>
      </c>
      <c r="B25" s="12">
        <f t="shared" ref="B25:G25" si="13">B17+B18+B21+B22-B24</f>
        <v>67.146649928625379</v>
      </c>
      <c r="C25" s="12">
        <f t="shared" si="13"/>
        <v>67.146649928625379</v>
      </c>
      <c r="D25" s="12">
        <f t="shared" si="13"/>
        <v>67.146649928625379</v>
      </c>
      <c r="E25" s="12">
        <f t="shared" si="13"/>
        <v>64.236649928625368</v>
      </c>
      <c r="F25" s="12"/>
      <c r="G25" s="12">
        <f t="shared" si="13"/>
        <v>64.236649928625368</v>
      </c>
      <c r="H25" s="71">
        <f t="shared" ref="H25:M25" si="14">H17+H18+H21+H22-H24</f>
        <v>67.146649928625379</v>
      </c>
      <c r="I25" s="71">
        <f t="shared" si="14"/>
        <v>67.146649928625379</v>
      </c>
      <c r="J25" s="71">
        <f t="shared" si="14"/>
        <v>67.146649928625379</v>
      </c>
      <c r="K25" s="12">
        <f t="shared" si="14"/>
        <v>67.146649928625379</v>
      </c>
      <c r="L25" s="12">
        <f t="shared" si="14"/>
        <v>67.146649928625379</v>
      </c>
      <c r="M25" s="12">
        <f t="shared" si="14"/>
        <v>67.146649928625379</v>
      </c>
      <c r="N25" s="12">
        <f t="shared" ref="N25:S25" si="15">N17+N18+N21+N22-N24</f>
        <v>67.548149711824436</v>
      </c>
      <c r="O25" s="12">
        <f t="shared" si="15"/>
        <v>67.548149711824436</v>
      </c>
      <c r="P25" s="12">
        <f t="shared" si="15"/>
        <v>67.548149711824436</v>
      </c>
      <c r="Q25" s="12">
        <f t="shared" si="15"/>
        <v>63.146649928625379</v>
      </c>
      <c r="R25" s="12">
        <f t="shared" si="15"/>
        <v>63.146649928625379</v>
      </c>
      <c r="S25" s="12">
        <f t="shared" si="15"/>
        <v>63.146649928625379</v>
      </c>
      <c r="T25" s="8">
        <f t="shared" ref="T25:Y25" si="16">T17+T18+T21+T22-T24</f>
        <v>67.146649928625379</v>
      </c>
      <c r="U25" s="8">
        <f t="shared" si="16"/>
        <v>67.146649928625379</v>
      </c>
      <c r="V25" s="8">
        <f t="shared" si="16"/>
        <v>67.146649928625379</v>
      </c>
      <c r="W25" s="8">
        <f t="shared" si="16"/>
        <v>70.196649928625376</v>
      </c>
      <c r="X25" s="8">
        <f t="shared" si="16"/>
        <v>70.196649928625376</v>
      </c>
      <c r="Y25" s="8">
        <f t="shared" si="16"/>
        <v>70.196649928625376</v>
      </c>
      <c r="Z25" s="12">
        <f>Z17+Z18+Z21+Z22-Z24</f>
        <v>67.146649928625379</v>
      </c>
      <c r="AA25" s="12">
        <f>AA17+AA18+AA21+AA22-AA24</f>
        <v>67.146649928625379</v>
      </c>
      <c r="AB25" s="12">
        <f>AB17+AB18+AB21+AB22-AB24</f>
        <v>67.146649928625379</v>
      </c>
      <c r="AC25" s="12">
        <f>AC17+AC18+AC21+AC22-AC24</f>
        <v>67.146649928625379</v>
      </c>
      <c r="AD25" s="12">
        <f>AD17+AD18+AD21+AD22-AD24</f>
        <v>67.146649928625379</v>
      </c>
      <c r="AE25" s="12"/>
      <c r="AF25" s="12">
        <f>AF17+AF18+AF21+AF22-AF24</f>
        <v>67.146649928625379</v>
      </c>
      <c r="AG25" s="12">
        <f>AG17+AG18+AG21+AG22-AG24</f>
        <v>67.146649928625379</v>
      </c>
      <c r="AH25" s="12">
        <f>AH17+AH18+AH21+AH22-AH24</f>
        <v>67.146649928625379</v>
      </c>
      <c r="AI25" s="12">
        <f>AI17+AI18+AI21+AI22-AI24</f>
        <v>67.146649928625379</v>
      </c>
      <c r="AJ25" s="12">
        <f>AJ17+AJ18+AJ21+AJ22-AJ24</f>
        <v>67.146649928625379</v>
      </c>
      <c r="AK25" s="12">
        <f>AK17+AK18+AK21+AK22-AK24</f>
        <v>67.146649928625379</v>
      </c>
    </row>
    <row r="26" spans="1:3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/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</row>
    <row r="27" spans="1:37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1:37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</row>
    <row r="29" spans="1:37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</row>
    <row r="30" spans="1:37" ht="45">
      <c r="A30" s="7" t="s">
        <v>56</v>
      </c>
      <c r="B30" s="12">
        <f t="shared" ref="B30:G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/>
      <c r="G30" s="12">
        <f t="shared" si="17"/>
        <v>-3</v>
      </c>
      <c r="H30" s="71">
        <f t="shared" ref="H30:M30" si="18">H31+10*LOG10(H28/H29)-H32</f>
        <v>0</v>
      </c>
      <c r="I30" s="71">
        <f t="shared" si="18"/>
        <v>-3</v>
      </c>
      <c r="J30" s="71">
        <f t="shared" si="18"/>
        <v>-3</v>
      </c>
      <c r="K30" s="12">
        <f t="shared" si="18"/>
        <v>0</v>
      </c>
      <c r="L30" s="12">
        <f t="shared" si="18"/>
        <v>-3</v>
      </c>
      <c r="M30" s="12">
        <f t="shared" si="18"/>
        <v>-3</v>
      </c>
      <c r="N30" s="12">
        <f t="shared" ref="N30:S30" si="19">N31+10*LOG10(N28/N29)-N32</f>
        <v>0</v>
      </c>
      <c r="O30" s="12">
        <f t="shared" si="19"/>
        <v>-3</v>
      </c>
      <c r="P30" s="12">
        <f t="shared" si="19"/>
        <v>-3</v>
      </c>
      <c r="Q30" s="12">
        <f t="shared" si="19"/>
        <v>0</v>
      </c>
      <c r="R30" s="12">
        <f t="shared" si="19"/>
        <v>-3</v>
      </c>
      <c r="S30" s="12">
        <f t="shared" si="19"/>
        <v>-3</v>
      </c>
      <c r="T30" s="8">
        <f t="shared" ref="T30:Y30" si="20">T31+10*LOG10(T28/T29)-T32</f>
        <v>0</v>
      </c>
      <c r="U30" s="8">
        <f t="shared" si="20"/>
        <v>-3</v>
      </c>
      <c r="V30" s="8">
        <f t="shared" si="20"/>
        <v>-3</v>
      </c>
      <c r="W30" s="8">
        <f t="shared" si="20"/>
        <v>0</v>
      </c>
      <c r="X30" s="8">
        <f t="shared" si="20"/>
        <v>-3</v>
      </c>
      <c r="Y30" s="8">
        <f t="shared" si="20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12">
        <f>AD31+10*LOG10(AD28/AD29)-AD32</f>
        <v>-3</v>
      </c>
      <c r="AE30" s="12"/>
      <c r="AF30" s="12">
        <f>AF31+10*LOG10(AF28/AF29)-AF32</f>
        <v>0</v>
      </c>
      <c r="AG30" s="12">
        <f>AG31+10*LOG10(AG28/AG29)-AG32</f>
        <v>-3</v>
      </c>
      <c r="AH30" s="12">
        <f>AH31+10*LOG10(AH28/AH29)-AH32</f>
        <v>-3</v>
      </c>
      <c r="AI30" s="12">
        <f>AI31+10*LOG10(AI28/AI29)-AI32</f>
        <v>0</v>
      </c>
      <c r="AJ30" s="12">
        <f>AJ31+10*LOG10(AJ28/AJ29)-AJ32</f>
        <v>-3</v>
      </c>
      <c r="AK30" s="12">
        <f>AK31+10*LOG10(AK28/AK29)-AK32</f>
        <v>-3</v>
      </c>
    </row>
    <row r="31" spans="1:3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</row>
    <row r="32" spans="1:37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</row>
    <row r="33" spans="1:37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</row>
    <row r="34" spans="1:3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</row>
    <row r="35" spans="1:3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</row>
    <row r="36" spans="1:3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</row>
    <row r="37" spans="1:37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  <c r="Z37" s="82">
        <v>-999</v>
      </c>
      <c r="AA37" s="82">
        <v>-999</v>
      </c>
      <c r="AB37" s="82">
        <v>-999</v>
      </c>
      <c r="AC37" s="82">
        <v>-169.3</v>
      </c>
      <c r="AD37" s="82">
        <v>-169.3</v>
      </c>
      <c r="AE37" s="82"/>
      <c r="AF37" s="82">
        <v>-999</v>
      </c>
      <c r="AG37" s="82">
        <v>-999</v>
      </c>
      <c r="AH37" s="82">
        <v>-999</v>
      </c>
      <c r="AI37" s="82">
        <v>-169.3</v>
      </c>
      <c r="AJ37" s="82">
        <v>-169.3</v>
      </c>
      <c r="AK37" s="82">
        <v>-169.3</v>
      </c>
    </row>
    <row r="38" spans="1:37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/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</row>
    <row r="39" spans="1:37" ht="30">
      <c r="A39" s="7" t="s">
        <v>106</v>
      </c>
      <c r="B39" s="12">
        <f t="shared" ref="B39:G39" si="21">10*LOG10(10^((B35+B36)/10)+10^(B37/10))</f>
        <v>-167.00000000000003</v>
      </c>
      <c r="C39" s="12">
        <f t="shared" si="21"/>
        <v>-167.00000000000003</v>
      </c>
      <c r="D39" s="12">
        <f t="shared" si="21"/>
        <v>-167.00000000000003</v>
      </c>
      <c r="E39" s="12">
        <f t="shared" si="21"/>
        <v>-167.00000000000003</v>
      </c>
      <c r="F39" s="12"/>
      <c r="G39" s="12">
        <f t="shared" si="21"/>
        <v>-167.00000000000003</v>
      </c>
      <c r="H39" s="71">
        <f t="shared" ref="H39:M39" si="22">10*LOG10(10^((H35+H36)/10)+10^(H37/10))</f>
        <v>-167.00000000000003</v>
      </c>
      <c r="I39" s="71">
        <f t="shared" si="22"/>
        <v>-167.00000000000003</v>
      </c>
      <c r="J39" s="71">
        <f t="shared" si="22"/>
        <v>-167.00000000000003</v>
      </c>
      <c r="K39" s="12">
        <f t="shared" si="22"/>
        <v>-167.00000000000003</v>
      </c>
      <c r="L39" s="12">
        <f t="shared" si="22"/>
        <v>-167.00000000000003</v>
      </c>
      <c r="M39" s="12">
        <f t="shared" si="22"/>
        <v>-167.00000000000003</v>
      </c>
      <c r="N39" s="12">
        <f t="shared" ref="N39:S39" si="23">10*LOG10(10^((N35+N36)/10)+10^(N37/10))</f>
        <v>-164.98918835931039</v>
      </c>
      <c r="O39" s="12">
        <f t="shared" si="23"/>
        <v>-164.98918835931039</v>
      </c>
      <c r="P39" s="12">
        <f t="shared" si="23"/>
        <v>-164.98918835931039</v>
      </c>
      <c r="Q39" s="12">
        <f t="shared" si="23"/>
        <v>-167.00000000000003</v>
      </c>
      <c r="R39" s="12">
        <f t="shared" si="23"/>
        <v>-167.00000000000003</v>
      </c>
      <c r="S39" s="12">
        <f t="shared" si="23"/>
        <v>-167.00000000000003</v>
      </c>
      <c r="T39" s="8">
        <f t="shared" ref="T39:Y39" si="24">10*LOG10(10^((T35+T36)/10)+10^(T37/10))</f>
        <v>-167.00000000000003</v>
      </c>
      <c r="U39" s="8">
        <f t="shared" si="24"/>
        <v>-167.00000000000003</v>
      </c>
      <c r="V39" s="8">
        <f t="shared" si="24"/>
        <v>-167.00000000000003</v>
      </c>
      <c r="W39" s="8">
        <f t="shared" si="24"/>
        <v>-164.98918835931039</v>
      </c>
      <c r="X39" s="8">
        <f t="shared" si="24"/>
        <v>-164.98918835931039</v>
      </c>
      <c r="Y39" s="8">
        <f t="shared" si="24"/>
        <v>-164.98918835931039</v>
      </c>
      <c r="Z39" s="12">
        <f>10*LOG10(10^((Z35+Z36)/10)+10^(Z37/10))</f>
        <v>-167.00000000000003</v>
      </c>
      <c r="AA39" s="12">
        <f>10*LOG10(10^((AA35+AA36)/10)+10^(AA37/10))</f>
        <v>-167.00000000000003</v>
      </c>
      <c r="AB39" s="12">
        <f>10*LOG10(10^((AB35+AB36)/10)+10^(AB37/10))</f>
        <v>-167.00000000000003</v>
      </c>
      <c r="AC39" s="12">
        <f>10*LOG10(10^((AC35+AC36)/10)+10^(AC37/10))</f>
        <v>-164.98918835931039</v>
      </c>
      <c r="AD39" s="12">
        <f>10*LOG10(10^((AD35+AD36)/10)+10^(AD37/10))</f>
        <v>-164.98918835931039</v>
      </c>
      <c r="AE39" s="12"/>
      <c r="AF39" s="12">
        <f>10*LOG10(10^((AF35+AF36)/10)+10^(AF37/10))</f>
        <v>-167.00000000000003</v>
      </c>
      <c r="AG39" s="12">
        <f>10*LOG10(10^((AG35+AG36)/10)+10^(AG37/10))</f>
        <v>-167.00000000000003</v>
      </c>
      <c r="AH39" s="12">
        <f>10*LOG10(10^((AH35+AH36)/10)+10^(AH37/10))</f>
        <v>-167.00000000000003</v>
      </c>
      <c r="AI39" s="12">
        <f>10*LOG10(10^((AI35+AI36)/10)+10^(AI37/10))</f>
        <v>-164.98918835931039</v>
      </c>
      <c r="AJ39" s="12">
        <f>10*LOG10(10^((AJ35+AJ36)/10)+10^(AJ37/10))</f>
        <v>-164.98918835931039</v>
      </c>
      <c r="AK39" s="12">
        <f>10*LOG10(10^((AK35+AK36)/10)+10^(AK37/10))</f>
        <v>-164.98918835931039</v>
      </c>
    </row>
    <row r="40" spans="1:37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/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</row>
    <row r="41" spans="1:37" ht="15">
      <c r="A41" s="20" t="s">
        <v>68</v>
      </c>
      <c r="B41" s="12">
        <f t="shared" ref="B41:G41" si="25">48*360*1000</f>
        <v>17280000</v>
      </c>
      <c r="C41" s="12">
        <f t="shared" si="25"/>
        <v>17280000</v>
      </c>
      <c r="D41" s="12">
        <f t="shared" si="25"/>
        <v>17280000</v>
      </c>
      <c r="E41" s="12">
        <f t="shared" si="25"/>
        <v>17280000</v>
      </c>
      <c r="F41" s="12"/>
      <c r="G41" s="12">
        <f t="shared" si="25"/>
        <v>17280000</v>
      </c>
      <c r="H41" s="71">
        <f t="shared" ref="H41:M41" si="26">48*360*1000</f>
        <v>17280000</v>
      </c>
      <c r="I41" s="71">
        <f t="shared" si="26"/>
        <v>17280000</v>
      </c>
      <c r="J41" s="71">
        <f t="shared" si="26"/>
        <v>17280000</v>
      </c>
      <c r="K41" s="12">
        <f t="shared" si="26"/>
        <v>17280000</v>
      </c>
      <c r="L41" s="12">
        <f t="shared" si="26"/>
        <v>17280000</v>
      </c>
      <c r="M41" s="12">
        <f t="shared" si="26"/>
        <v>17280000</v>
      </c>
      <c r="N41" s="12">
        <f t="shared" ref="N41:S41" si="27">48*360*1000</f>
        <v>17280000</v>
      </c>
      <c r="O41" s="12">
        <f t="shared" si="27"/>
        <v>17280000</v>
      </c>
      <c r="P41" s="12">
        <f t="shared" si="27"/>
        <v>17280000</v>
      </c>
      <c r="Q41" s="12">
        <f t="shared" si="27"/>
        <v>17280000</v>
      </c>
      <c r="R41" s="12">
        <f t="shared" si="27"/>
        <v>17280000</v>
      </c>
      <c r="S41" s="12">
        <f t="shared" si="27"/>
        <v>17280000</v>
      </c>
      <c r="T41" s="8">
        <f t="shared" ref="T41:Y41" si="28">48*360*1000</f>
        <v>17280000</v>
      </c>
      <c r="U41" s="8">
        <f t="shared" si="28"/>
        <v>17280000</v>
      </c>
      <c r="V41" s="8">
        <f t="shared" si="28"/>
        <v>17280000</v>
      </c>
      <c r="W41" s="8">
        <f t="shared" si="28"/>
        <v>17280000</v>
      </c>
      <c r="X41" s="8">
        <f t="shared" si="28"/>
        <v>17280000</v>
      </c>
      <c r="Y41" s="8">
        <f t="shared" si="28"/>
        <v>17280000</v>
      </c>
      <c r="Z41" s="12">
        <f>48*360*1000</f>
        <v>17280000</v>
      </c>
      <c r="AA41" s="12">
        <f>48*360*1000</f>
        <v>17280000</v>
      </c>
      <c r="AB41" s="12">
        <f>48*360*1000</f>
        <v>17280000</v>
      </c>
      <c r="AC41" s="12">
        <f>48*360*1000</f>
        <v>17280000</v>
      </c>
      <c r="AD41" s="12">
        <f>48*360*1000</f>
        <v>17280000</v>
      </c>
      <c r="AE41" s="12"/>
      <c r="AF41" s="12">
        <f>48*360*1000</f>
        <v>17280000</v>
      </c>
      <c r="AG41" s="12">
        <f>48*360*1000</f>
        <v>17280000</v>
      </c>
      <c r="AH41" s="12">
        <f>48*360*1000</f>
        <v>17280000</v>
      </c>
      <c r="AI41" s="12">
        <f>48*360*1000</f>
        <v>17280000</v>
      </c>
      <c r="AJ41" s="12">
        <f>48*360*1000</f>
        <v>17280000</v>
      </c>
      <c r="AK41" s="12">
        <f>48*360*1000</f>
        <v>17280000</v>
      </c>
    </row>
    <row r="42" spans="1:37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/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</row>
    <row r="43" spans="1:37" ht="15">
      <c r="A43" s="7" t="s">
        <v>71</v>
      </c>
      <c r="B43" s="12">
        <f t="shared" ref="B43:G43" si="29">B39+10*LOG10(B41)</f>
        <v>-94.624562618571289</v>
      </c>
      <c r="C43" s="12">
        <f t="shared" si="29"/>
        <v>-94.624562618571289</v>
      </c>
      <c r="D43" s="12">
        <f t="shared" si="29"/>
        <v>-94.624562618571289</v>
      </c>
      <c r="E43" s="12">
        <f t="shared" si="29"/>
        <v>-94.624562618571289</v>
      </c>
      <c r="F43" s="12"/>
      <c r="G43" s="12">
        <f t="shared" si="29"/>
        <v>-94.624562618571289</v>
      </c>
      <c r="H43" s="71">
        <f t="shared" ref="H43:M43" si="30">H39+10*LOG10(H41)</f>
        <v>-94.624562618571289</v>
      </c>
      <c r="I43" s="71">
        <f t="shared" si="30"/>
        <v>-94.624562618571289</v>
      </c>
      <c r="J43" s="71">
        <f t="shared" si="30"/>
        <v>-94.624562618571289</v>
      </c>
      <c r="K43" s="12">
        <f t="shared" si="30"/>
        <v>-94.624562618571289</v>
      </c>
      <c r="L43" s="12">
        <f t="shared" si="30"/>
        <v>-94.624562618571289</v>
      </c>
      <c r="M43" s="12">
        <f t="shared" si="30"/>
        <v>-94.624562618571289</v>
      </c>
      <c r="N43" s="12">
        <f t="shared" ref="N43:S43" si="31">N39+10*LOG10(N41)</f>
        <v>-92.613750977881651</v>
      </c>
      <c r="O43" s="12">
        <f t="shared" si="31"/>
        <v>-92.613750977881651</v>
      </c>
      <c r="P43" s="12">
        <f t="shared" si="31"/>
        <v>-92.613750977881651</v>
      </c>
      <c r="Q43" s="12">
        <f t="shared" si="31"/>
        <v>-94.624562618571289</v>
      </c>
      <c r="R43" s="12">
        <f t="shared" si="31"/>
        <v>-94.624562618571289</v>
      </c>
      <c r="S43" s="12">
        <f t="shared" si="31"/>
        <v>-94.624562618571289</v>
      </c>
      <c r="T43" s="8">
        <f t="shared" ref="T43:Y43" si="32">T39+10*LOG10(T41)</f>
        <v>-94.624562618571289</v>
      </c>
      <c r="U43" s="8">
        <f t="shared" si="32"/>
        <v>-94.624562618571289</v>
      </c>
      <c r="V43" s="8">
        <f t="shared" si="32"/>
        <v>-94.624562618571289</v>
      </c>
      <c r="W43" s="8">
        <f t="shared" si="32"/>
        <v>-92.613750977881651</v>
      </c>
      <c r="X43" s="8">
        <f t="shared" si="32"/>
        <v>-92.613750977881651</v>
      </c>
      <c r="Y43" s="8">
        <f t="shared" si="32"/>
        <v>-92.613750977881651</v>
      </c>
      <c r="Z43" s="12">
        <f>Z39+10*LOG10(Z41)</f>
        <v>-94.624562618571289</v>
      </c>
      <c r="AA43" s="12">
        <f>AA39+10*LOG10(AA41)</f>
        <v>-94.624562618571289</v>
      </c>
      <c r="AB43" s="12">
        <f>AB39+10*LOG10(AB41)</f>
        <v>-94.624562618571289</v>
      </c>
      <c r="AC43" s="12">
        <f>AC39+10*LOG10(AC41)</f>
        <v>-92.613750977881651</v>
      </c>
      <c r="AD43" s="12">
        <f>AD39+10*LOG10(AD41)</f>
        <v>-92.613750977881651</v>
      </c>
      <c r="AE43" s="12"/>
      <c r="AF43" s="12">
        <f>AF39+10*LOG10(AF41)</f>
        <v>-94.624562618571289</v>
      </c>
      <c r="AG43" s="12">
        <f>AG39+10*LOG10(AG41)</f>
        <v>-94.624562618571289</v>
      </c>
      <c r="AH43" s="12">
        <f>AH39+10*LOG10(AH41)</f>
        <v>-94.624562618571289</v>
      </c>
      <c r="AI43" s="12">
        <f>AI39+10*LOG10(AI41)</f>
        <v>-92.613750977881651</v>
      </c>
      <c r="AJ43" s="12">
        <f>AJ39+10*LOG10(AJ41)</f>
        <v>-92.613750977881651</v>
      </c>
      <c r="AK43" s="12">
        <f>AK39+10*LOG10(AK41)</f>
        <v>-92.613750977881651</v>
      </c>
    </row>
    <row r="44" spans="1:3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/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</row>
    <row r="45" spans="1:37" ht="15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  <c r="Z45" s="16">
        <v>-10.87</v>
      </c>
      <c r="AA45" s="16">
        <v>-8.06</v>
      </c>
      <c r="AB45" s="16">
        <v>-4.63</v>
      </c>
      <c r="AC45" s="16">
        <v>-11.65</v>
      </c>
      <c r="AD45" s="16">
        <v>-9</v>
      </c>
      <c r="AE45" s="16"/>
      <c r="AF45" s="16">
        <v>-12.2</v>
      </c>
      <c r="AG45" s="16">
        <v>-9.6999999999999993</v>
      </c>
      <c r="AH45" s="16">
        <v>-6.8</v>
      </c>
      <c r="AI45" s="16">
        <v>-11.23</v>
      </c>
      <c r="AJ45" s="16">
        <v>-8.19</v>
      </c>
      <c r="AK45" s="16">
        <v>-5.1100000000000003</v>
      </c>
    </row>
    <row r="46" spans="1:37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/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</row>
    <row r="47" spans="1:3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</row>
    <row r="48" spans="1:3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/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</row>
    <row r="49" spans="1:3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/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</row>
    <row r="50" spans="1:37" ht="30">
      <c r="A50" s="7" t="s">
        <v>80</v>
      </c>
      <c r="B50" s="12">
        <f t="shared" ref="B50:G50" si="33">B43+B45+B47-B48</f>
        <v>-103.92456261857129</v>
      </c>
      <c r="C50" s="12">
        <f t="shared" si="33"/>
        <v>-100.92456261857129</v>
      </c>
      <c r="D50" s="12">
        <f t="shared" si="33"/>
        <v>-97.424562618571287</v>
      </c>
      <c r="E50" s="12">
        <f t="shared" si="33"/>
        <v>-104.17456261857129</v>
      </c>
      <c r="F50" s="12"/>
      <c r="G50" s="12">
        <f t="shared" si="33"/>
        <v>-98.01456261857129</v>
      </c>
      <c r="H50" s="71">
        <f t="shared" ref="H50:M50" si="34">H43+H45+H47-H48</f>
        <v>-105.31456261857129</v>
      </c>
      <c r="I50" s="71">
        <f t="shared" si="34"/>
        <v>-102.00456261857128</v>
      </c>
      <c r="J50" s="71">
        <f t="shared" si="34"/>
        <v>-98.044562618571291</v>
      </c>
      <c r="K50" s="12">
        <f t="shared" si="34"/>
        <v>-102.51456261857129</v>
      </c>
      <c r="L50" s="12">
        <f t="shared" si="34"/>
        <v>-100.0245626185713</v>
      </c>
      <c r="M50" s="12">
        <f t="shared" si="34"/>
        <v>-96.324562618571292</v>
      </c>
      <c r="N50" s="12">
        <f t="shared" ref="N50:S50" si="35">N43+N45+N47-N48</f>
        <v>-99.033750977881652</v>
      </c>
      <c r="O50" s="12">
        <f t="shared" si="35"/>
        <v>-96.433750977881658</v>
      </c>
      <c r="P50" s="12">
        <f t="shared" si="35"/>
        <v>-93.233750977881655</v>
      </c>
      <c r="Q50" s="12">
        <f t="shared" si="35"/>
        <v>-104.12456261857129</v>
      </c>
      <c r="R50" s="12">
        <f t="shared" si="35"/>
        <v>-101.62456261857129</v>
      </c>
      <c r="S50" s="12">
        <f t="shared" si="35"/>
        <v>-98.474562618571284</v>
      </c>
      <c r="T50" s="8">
        <f t="shared" ref="T50:Y50" si="36">T43+T45+T47-T48</f>
        <v>-100.62456261857129</v>
      </c>
      <c r="U50" s="8">
        <f t="shared" si="36"/>
        <v>-97.824562618571292</v>
      </c>
      <c r="V50" s="8">
        <f t="shared" si="36"/>
        <v>-95.224562618571284</v>
      </c>
      <c r="W50" s="8">
        <f t="shared" si="36"/>
        <v>-99.113750977881651</v>
      </c>
      <c r="X50" s="8">
        <f t="shared" si="36"/>
        <v>-96.313750977881654</v>
      </c>
      <c r="Y50" s="8">
        <f t="shared" si="36"/>
        <v>-92.313750977881654</v>
      </c>
      <c r="Z50" s="12">
        <f>Z43+Z45+Z47-Z48</f>
        <v>-103.49456261857129</v>
      </c>
      <c r="AA50" s="12">
        <f>AA43+AA45+AA47-AA48</f>
        <v>-100.68456261857129</v>
      </c>
      <c r="AB50" s="12">
        <f>AB43+AB45+AB47-AB48</f>
        <v>-97.254562618571285</v>
      </c>
      <c r="AC50" s="12">
        <f>AC43+AC45+AC47-AC48</f>
        <v>-102.26375097788166</v>
      </c>
      <c r="AD50" s="12">
        <f>AD43+AD45+AD47-AD48</f>
        <v>-99.613750977881651</v>
      </c>
      <c r="AE50" s="12"/>
      <c r="AF50" s="12">
        <f>AF43+AF45+AF47-AF48</f>
        <v>-104.82456261857129</v>
      </c>
      <c r="AG50" s="12">
        <f>AG43+AG45+AG47-AG48</f>
        <v>-102.32456261857129</v>
      </c>
      <c r="AH50" s="12">
        <f>AH43+AH45+AH47-AH48</f>
        <v>-99.424562618571287</v>
      </c>
      <c r="AI50" s="12">
        <f>AI43+AI45+AI47-AI48</f>
        <v>-101.84375097788165</v>
      </c>
      <c r="AJ50" s="12">
        <f>AJ43+AJ45+AJ47-AJ48</f>
        <v>-98.803750977881649</v>
      </c>
      <c r="AK50" s="12">
        <f>AK43+AK45+AK47-AK48</f>
        <v>-95.72375097788165</v>
      </c>
    </row>
    <row r="51" spans="1:37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/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</row>
    <row r="52" spans="1:37" ht="30">
      <c r="A52" s="21" t="s">
        <v>83</v>
      </c>
      <c r="B52" s="22">
        <f>B25+B30+B33-B34-B50</f>
        <v>170.07121254719667</v>
      </c>
      <c r="C52" s="22">
        <f t="shared" ref="C52:G52" si="37">C25+C30+C33-C34-C50</f>
        <v>164.07121254719667</v>
      </c>
      <c r="D52" s="22">
        <f t="shared" si="37"/>
        <v>160.57121254719667</v>
      </c>
      <c r="E52" s="22">
        <f t="shared" si="37"/>
        <v>167.41121254719667</v>
      </c>
      <c r="F52" s="22"/>
      <c r="G52" s="22">
        <f t="shared" si="37"/>
        <v>158.25121254719664</v>
      </c>
      <c r="H52" s="76">
        <f>H25+H30+H33-H34-H50</f>
        <v>171.46121254719668</v>
      </c>
      <c r="I52" s="76">
        <f t="shared" ref="I52:J52" si="38">I25+I30+I33-I34-I50</f>
        <v>165.15121254719668</v>
      </c>
      <c r="J52" s="76">
        <f t="shared" si="38"/>
        <v>161.19121254719667</v>
      </c>
      <c r="K52" s="22">
        <f>K25+K30+K33-K34-K50</f>
        <v>168.66121254719667</v>
      </c>
      <c r="L52" s="22">
        <f t="shared" ref="L52:M52" si="39">L25+L30+L33-L34-L50</f>
        <v>163.17121254719666</v>
      </c>
      <c r="M52" s="22">
        <f t="shared" si="39"/>
        <v>159.47121254719667</v>
      </c>
      <c r="N52" s="22">
        <f>N25+N30+N33-N34-N50</f>
        <v>165.58190068970609</v>
      </c>
      <c r="O52" s="22">
        <f t="shared" ref="O52:P52" si="40">O25+O30+O33-O34-O50</f>
        <v>159.98190068970609</v>
      </c>
      <c r="P52" s="22">
        <f t="shared" si="40"/>
        <v>156.78190068970611</v>
      </c>
      <c r="Q52" s="22">
        <f>Q25+Q30+Q33-Q34-Q50</f>
        <v>166.27121254719668</v>
      </c>
      <c r="R52" s="22">
        <f t="shared" ref="R52:S52" si="41">R25+R30+R33-R34-R50</f>
        <v>160.77121254719668</v>
      </c>
      <c r="S52" s="22">
        <f t="shared" si="41"/>
        <v>157.62121254719665</v>
      </c>
      <c r="T52" s="22">
        <f>T25+T30+T33-T34-T50</f>
        <v>166.77121254719668</v>
      </c>
      <c r="U52" s="22">
        <f t="shared" ref="U52:V52" si="42">U25+U30+U33-U34-U50</f>
        <v>160.97121254719667</v>
      </c>
      <c r="V52" s="22">
        <f t="shared" si="42"/>
        <v>158.37121254719665</v>
      </c>
      <c r="W52" s="22">
        <f>W25+W30+W33-W34-W50</f>
        <v>168.31040090650703</v>
      </c>
      <c r="X52" s="22">
        <f t="shared" ref="X52:Y52" si="43">X25+X30+X33-X34-X50</f>
        <v>162.51040090650702</v>
      </c>
      <c r="Y52" s="22">
        <f t="shared" si="43"/>
        <v>158.51040090650702</v>
      </c>
      <c r="Z52" s="22">
        <f>Z25+Z30+Z33-Z34-Z50</f>
        <v>169.64121254719669</v>
      </c>
      <c r="AA52" s="22">
        <f t="shared" ref="AA52:AB52" si="44">AA25+AA30+AA33-AA34-AA50</f>
        <v>163.83121254719669</v>
      </c>
      <c r="AB52" s="22">
        <f t="shared" si="44"/>
        <v>160.40121254719668</v>
      </c>
      <c r="AC52" s="22">
        <f>AC25+AC30+AC33-AC34-AC50</f>
        <v>168.41040090650705</v>
      </c>
      <c r="AD52" s="22">
        <f t="shared" ref="AD52" si="45">AD25+AD30+AD33-AD34-AD50</f>
        <v>162.76040090650702</v>
      </c>
      <c r="AE52" s="22"/>
      <c r="AF52" s="22">
        <f>AF25+AF30+AF33-AF34-AF50</f>
        <v>170.97121254719667</v>
      </c>
      <c r="AG52" s="22">
        <f t="shared" ref="AG52:AH52" si="46">AG25+AG30+AG33-AG34-AG50</f>
        <v>165.47121254719667</v>
      </c>
      <c r="AH52" s="22">
        <f t="shared" si="46"/>
        <v>162.57121254719667</v>
      </c>
      <c r="AI52" s="22">
        <f>AI25+AI30+AI33-AI34-AI50</f>
        <v>167.99040090650703</v>
      </c>
      <c r="AJ52" s="22">
        <f t="shared" ref="AJ52:AK52" si="47">AJ25+AJ30+AJ33-AJ34-AJ50</f>
        <v>161.95040090650701</v>
      </c>
      <c r="AK52" s="22">
        <f t="shared" si="47"/>
        <v>158.87040090650703</v>
      </c>
    </row>
    <row r="53" spans="1:37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 t="s">
        <v>16</v>
      </c>
      <c r="AE53" s="24"/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24" t="s">
        <v>16</v>
      </c>
    </row>
    <row r="54" spans="1:37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</row>
    <row r="56" spans="1:37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  <c r="Z56" s="82">
        <v>7.56</v>
      </c>
      <c r="AA56" s="82">
        <v>7.56</v>
      </c>
      <c r="AB56" s="82">
        <v>7.56</v>
      </c>
      <c r="AC56" s="82">
        <v>7.56</v>
      </c>
      <c r="AD56" s="82">
        <v>7.56</v>
      </c>
      <c r="AE56" s="82"/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</row>
    <row r="57" spans="1:37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 t="s">
        <v>16</v>
      </c>
      <c r="AE57" s="25"/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25" t="s">
        <v>16</v>
      </c>
    </row>
    <row r="58" spans="1:37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</row>
    <row r="59" spans="1:37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</row>
    <row r="60" spans="1:37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</row>
    <row r="61" spans="1:37" ht="30">
      <c r="A61" s="21" t="s">
        <v>108</v>
      </c>
      <c r="B61" s="22">
        <f>B52-B56+B58-B59+B60</f>
        <v>136.26121254719666</v>
      </c>
      <c r="C61" s="22">
        <f t="shared" ref="C61:G61" si="48">C52-C56+C58-C59+C60</f>
        <v>130.26121254719666</v>
      </c>
      <c r="D61" s="22">
        <f t="shared" si="48"/>
        <v>126.76121254719666</v>
      </c>
      <c r="E61" s="22">
        <f t="shared" si="48"/>
        <v>133.60121254719667</v>
      </c>
      <c r="F61" s="22"/>
      <c r="G61" s="22">
        <f t="shared" si="48"/>
        <v>124.44121254719664</v>
      </c>
      <c r="H61" s="76">
        <f>H52-H56+H58-H59+H60</f>
        <v>137.65121254719668</v>
      </c>
      <c r="I61" s="76">
        <f t="shared" ref="I61:J61" si="49">I52-I56+I58-I59+I60</f>
        <v>131.34121254719668</v>
      </c>
      <c r="J61" s="76">
        <f t="shared" si="49"/>
        <v>127.38121254719667</v>
      </c>
      <c r="K61" s="22">
        <f>K52-K56+K58-K59+K60</f>
        <v>134.85121254719667</v>
      </c>
      <c r="L61" s="22">
        <f t="shared" ref="L61:M61" si="50">L52-L56+L58-L59+L60</f>
        <v>129.36121254719666</v>
      </c>
      <c r="M61" s="22">
        <f t="shared" si="50"/>
        <v>125.66121254719667</v>
      </c>
      <c r="N61" s="22">
        <f>N52-N56+N58-N59+N60</f>
        <v>131.77190068970609</v>
      </c>
      <c r="O61" s="22">
        <f t="shared" ref="O61:P61" si="51">O52-O56+O58-O59+O60</f>
        <v>126.17190068970609</v>
      </c>
      <c r="P61" s="22">
        <f t="shared" si="51"/>
        <v>122.9719006897061</v>
      </c>
      <c r="Q61" s="22">
        <f>Q52-Q56+Q58-Q59+Q60</f>
        <v>132.46121254719668</v>
      </c>
      <c r="R61" s="22">
        <f t="shared" ref="R61:S61" si="52">R52-R56+R58-R59+R60</f>
        <v>126.96121254719668</v>
      </c>
      <c r="S61" s="22">
        <f t="shared" si="52"/>
        <v>123.81121254719665</v>
      </c>
      <c r="T61" s="22">
        <f>T52-T56+T58-T59+T60</f>
        <v>132.96121254719668</v>
      </c>
      <c r="U61" s="22">
        <f t="shared" ref="U61:V61" si="53">U52-U56+U58-U59+U60</f>
        <v>127.16121254719667</v>
      </c>
      <c r="V61" s="22">
        <f t="shared" si="53"/>
        <v>124.56121254719665</v>
      </c>
      <c r="W61" s="22">
        <f>W52-W56+W58-W59+W60</f>
        <v>134.48040090650701</v>
      </c>
      <c r="X61" s="22">
        <f t="shared" ref="X61:Y61" si="54">X52-X56+X58-X59+X60</f>
        <v>128.680400906507</v>
      </c>
      <c r="Y61" s="22">
        <f t="shared" si="54"/>
        <v>124.680400906507</v>
      </c>
      <c r="Z61" s="22">
        <f>Z52-Z56+Z58-Z59+Z60</f>
        <v>135.83121254719669</v>
      </c>
      <c r="AA61" s="22">
        <f t="shared" ref="AA61:AB61" si="55">AA52-AA56+AA58-AA59+AA60</f>
        <v>130.02121254719668</v>
      </c>
      <c r="AB61" s="22">
        <f t="shared" si="55"/>
        <v>126.59121254719668</v>
      </c>
      <c r="AC61" s="22">
        <f>AC52-AC56+AC58-AC59+AC60</f>
        <v>134.60040090650705</v>
      </c>
      <c r="AD61" s="22">
        <f t="shared" ref="AD61" si="56">AD52-AD56+AD58-AD59+AD60</f>
        <v>128.95040090650701</v>
      </c>
      <c r="AE61" s="22"/>
      <c r="AF61" s="22">
        <f>AF52-AF56+AF58-AF59+AF60</f>
        <v>137.16121254719667</v>
      </c>
      <c r="AG61" s="22">
        <f t="shared" ref="AG61:AH61" si="57">AG52-AG56+AG58-AG59+AG60</f>
        <v>131.66121254719667</v>
      </c>
      <c r="AH61" s="22">
        <f t="shared" si="57"/>
        <v>128.76121254719666</v>
      </c>
      <c r="AI61" s="22">
        <f>AI52-AI56+AI58-AI59+AI60</f>
        <v>137.18040090650703</v>
      </c>
      <c r="AJ61" s="22">
        <f t="shared" ref="AJ61:AK61" si="58">AJ52-AJ56+AJ58-AJ59+AJ60</f>
        <v>131.14040090650701</v>
      </c>
      <c r="AK61" s="22">
        <f t="shared" si="58"/>
        <v>128.06040090650703</v>
      </c>
    </row>
    <row r="62" spans="1:37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 t="s">
        <v>16</v>
      </c>
      <c r="AE62" s="24"/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24" t="s">
        <v>16</v>
      </c>
    </row>
    <row r="63" spans="1:37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</row>
    <row r="64" spans="1:37" ht="15">
      <c r="A64" s="21" t="s">
        <v>97</v>
      </c>
      <c r="B64" s="22">
        <f t="shared" ref="B64:G64" si="59">B17+B22-B50+B21+B33</f>
        <v>161.30000000000004</v>
      </c>
      <c r="C64" s="22">
        <f t="shared" si="59"/>
        <v>158.30000000000004</v>
      </c>
      <c r="D64" s="22">
        <f t="shared" si="59"/>
        <v>154.80000000000004</v>
      </c>
      <c r="E64" s="22">
        <f t="shared" si="59"/>
        <v>161.59000000000003</v>
      </c>
      <c r="F64" s="22"/>
      <c r="G64" s="22">
        <f t="shared" si="59"/>
        <v>155.43000000000004</v>
      </c>
      <c r="H64" s="76">
        <f t="shared" ref="H64:M64" si="60">H17+H22-H50+H21+H33</f>
        <v>162.69000000000003</v>
      </c>
      <c r="I64" s="76">
        <f t="shared" si="60"/>
        <v>159.38000000000002</v>
      </c>
      <c r="J64" s="76">
        <f t="shared" si="60"/>
        <v>155.42000000000004</v>
      </c>
      <c r="K64" s="22">
        <f t="shared" si="60"/>
        <v>159.89000000000004</v>
      </c>
      <c r="L64" s="22">
        <f t="shared" si="60"/>
        <v>157.40000000000003</v>
      </c>
      <c r="M64" s="22">
        <f t="shared" si="60"/>
        <v>153.70000000000005</v>
      </c>
      <c r="N64" s="22">
        <f t="shared" ref="N64:S64" si="61">N17+N22-N50+N21+N33</f>
        <v>159.46068814250947</v>
      </c>
      <c r="O64" s="22">
        <f t="shared" si="61"/>
        <v>156.86068814250947</v>
      </c>
      <c r="P64" s="22">
        <f t="shared" si="61"/>
        <v>153.66068814250946</v>
      </c>
      <c r="Q64" s="22">
        <f t="shared" si="61"/>
        <v>157.50000000000003</v>
      </c>
      <c r="R64" s="22">
        <f t="shared" si="61"/>
        <v>155.00000000000003</v>
      </c>
      <c r="S64" s="22">
        <f t="shared" si="61"/>
        <v>151.85000000000002</v>
      </c>
      <c r="T64" s="22">
        <f t="shared" ref="T64:Y64" si="62">T17+T22-T50+T21+T33</f>
        <v>158.00000000000003</v>
      </c>
      <c r="U64" s="22">
        <f t="shared" si="62"/>
        <v>155.20000000000005</v>
      </c>
      <c r="V64" s="22">
        <f t="shared" si="62"/>
        <v>152.60000000000002</v>
      </c>
      <c r="W64" s="22">
        <f t="shared" si="62"/>
        <v>159.5391883593104</v>
      </c>
      <c r="X64" s="22">
        <f t="shared" si="62"/>
        <v>156.73918835931042</v>
      </c>
      <c r="Y64" s="22">
        <f t="shared" si="62"/>
        <v>152.73918835931042</v>
      </c>
      <c r="Z64" s="22">
        <f>Z17+Z22-Z50+Z21+Z33</f>
        <v>160.87000000000003</v>
      </c>
      <c r="AA64" s="22">
        <f>AA17+AA22-AA50+AA21+AA33</f>
        <v>158.06000000000003</v>
      </c>
      <c r="AB64" s="22">
        <f>AB17+AB22-AB50+AB21+AB33</f>
        <v>154.63000000000002</v>
      </c>
      <c r="AC64" s="22">
        <f>AC17+AC22-AC50+AC21+AC33</f>
        <v>159.6391883593104</v>
      </c>
      <c r="AD64" s="22">
        <f>AD17+AD22-AD50+AD21+AD33</f>
        <v>156.98918835931039</v>
      </c>
      <c r="AE64" s="22"/>
      <c r="AF64" s="22">
        <f>AF17+AF22-AF50+AF21+AF33</f>
        <v>162.20000000000005</v>
      </c>
      <c r="AG64" s="22">
        <f>AG17+AG22-AG50+AG21+AG33</f>
        <v>159.70000000000005</v>
      </c>
      <c r="AH64" s="22">
        <f>AH17+AH22-AH50+AH21+AH33</f>
        <v>156.80000000000004</v>
      </c>
      <c r="AI64" s="22">
        <f>AI17+AI22-AI50+AI21+AI33</f>
        <v>159.21918835931041</v>
      </c>
      <c r="AJ64" s="22">
        <f>AJ17+AJ22-AJ50+AJ21+AJ33</f>
        <v>156.17918835931039</v>
      </c>
      <c r="AK64" s="22">
        <f>AK17+AK22-AK50+AK21+AK33</f>
        <v>153.0991883593104</v>
      </c>
    </row>
    <row r="65" spans="1:37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 t="s">
        <v>16</v>
      </c>
      <c r="AE65" s="24"/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24" t="s">
        <v>16</v>
      </c>
    </row>
  </sheetData>
  <mergeCells count="12"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zoomScale="55" zoomScaleNormal="55" workbookViewId="0">
      <pane xSplit="1" ySplit="1" topLeftCell="C17" activePane="bottomRight" state="frozen"/>
      <selection pane="topRight"/>
      <selection pane="bottomLeft"/>
      <selection pane="bottomRight" activeCell="T1" sqref="T1:U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8" width="15.375" style="1" customWidth="1"/>
    <col min="19" max="19" width="13" style="1" customWidth="1"/>
    <col min="20" max="20" width="15.625" style="2" customWidth="1"/>
    <col min="21" max="21" width="15.62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118</v>
      </c>
      <c r="K1" s="90"/>
      <c r="L1" s="90" t="s">
        <v>125</v>
      </c>
      <c r="M1" s="90"/>
      <c r="N1" s="90" t="s">
        <v>129</v>
      </c>
      <c r="O1" s="90"/>
      <c r="P1" s="90" t="s">
        <v>130</v>
      </c>
      <c r="Q1" s="90"/>
      <c r="R1" s="90" t="s">
        <v>133</v>
      </c>
      <c r="S1" s="90"/>
      <c r="T1" s="90" t="s">
        <v>140</v>
      </c>
      <c r="U1" s="90"/>
    </row>
    <row r="2" spans="1:2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</row>
    <row r="3" spans="1:21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</row>
    <row r="8" spans="1:21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</row>
    <row r="9" spans="1:21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</row>
    <row r="10" spans="1:21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</row>
    <row r="11" spans="1:2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</row>
    <row r="14" spans="1:21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</row>
    <row r="15" spans="1:21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</row>
    <row r="16" spans="1:21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  <c r="T18" s="12">
        <f>T19+10*LOG10(T12/T14)-T20</f>
        <v>0</v>
      </c>
      <c r="U18" s="12">
        <f>U19+10*LOG10(U12/U14)-U20</f>
        <v>-3</v>
      </c>
    </row>
    <row r="19" spans="1:21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 ht="15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  <c r="T25" s="8">
        <f>T17+T18+T21+T22-T24</f>
        <v>22</v>
      </c>
      <c r="U25" s="8">
        <f>U17+U18+U21+U22-U24</f>
        <v>19</v>
      </c>
    </row>
    <row r="26" spans="1:21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</row>
    <row r="27" spans="1:2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</row>
    <row r="29" spans="1:21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3">
        <v>4</v>
      </c>
      <c r="S29" s="83">
        <v>4</v>
      </c>
      <c r="T29" s="82">
        <v>4</v>
      </c>
      <c r="U29" s="82">
        <v>4</v>
      </c>
    </row>
    <row r="30" spans="1:21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12">
        <f>T31+10*LOG10(T28/T13)-T32</f>
        <v>12.771212547196624</v>
      </c>
      <c r="U30" s="12">
        <f>U31+10*LOG10(U28/U13)-U32</f>
        <v>12.771212547196624</v>
      </c>
    </row>
    <row r="31" spans="1:21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</row>
    <row r="33" spans="1:21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8</v>
      </c>
      <c r="Q33" s="16">
        <v>8</v>
      </c>
      <c r="R33" s="52">
        <v>12</v>
      </c>
      <c r="S33" s="52">
        <v>12</v>
      </c>
      <c r="T33" s="16">
        <v>12</v>
      </c>
      <c r="U33" s="16">
        <v>12</v>
      </c>
    </row>
    <row r="34" spans="1:21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-999</v>
      </c>
      <c r="Q37" s="82">
        <v>-999</v>
      </c>
      <c r="R37" s="82">
        <v>-161.69999999999999</v>
      </c>
      <c r="S37" s="82">
        <v>-161.69999999999999</v>
      </c>
      <c r="T37" s="82">
        <v>-165.7</v>
      </c>
      <c r="U37" s="82">
        <v>-165.7</v>
      </c>
    </row>
    <row r="38" spans="1:21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</row>
    <row r="39" spans="1:21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8">
        <f t="shared" si="11"/>
        <v>-160.9583889004532</v>
      </c>
      <c r="O39" s="8">
        <f t="shared" si="11"/>
        <v>-160.9583889004532</v>
      </c>
      <c r="P39" s="12">
        <f t="shared" si="11"/>
        <v>-169.00000000000003</v>
      </c>
      <c r="Q39" s="12">
        <f t="shared" si="11"/>
        <v>-169.00000000000003</v>
      </c>
      <c r="R39" s="12">
        <f>10*LOG10(10^((R35+R36)/10)+10^(R37/10))</f>
        <v>-160.9583889004532</v>
      </c>
      <c r="S39" s="12">
        <f>10*LOG10(10^((S35+S36)/10)+10^(S37/10))</f>
        <v>-160.9583889004532</v>
      </c>
      <c r="T39" s="12">
        <f>10*LOG10(10^((T35+T36)/10)+10^(T37/10))</f>
        <v>-164.03352307536667</v>
      </c>
      <c r="U39" s="12">
        <f>10*LOG10(10^((U35+U36)/10)+10^(U37/10))</f>
        <v>-164.03352307536667</v>
      </c>
    </row>
    <row r="40" spans="1:21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</row>
    <row r="41" spans="1:21" ht="15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8">
        <f t="shared" si="14"/>
        <v>360000</v>
      </c>
      <c r="O41" s="8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  <c r="T41" s="12">
        <f>1*12*30*1000</f>
        <v>360000</v>
      </c>
      <c r="U41" s="12">
        <f>1*12*30*1000</f>
        <v>360000</v>
      </c>
    </row>
    <row r="42" spans="1:21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</row>
    <row r="43" spans="1:21" ht="15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8">
        <f t="shared" si="17"/>
        <v>-105.39536389278032</v>
      </c>
      <c r="O43" s="8">
        <f t="shared" si="17"/>
        <v>-105.39536389278032</v>
      </c>
      <c r="P43" s="12">
        <f t="shared" si="17"/>
        <v>-113.43697499232715</v>
      </c>
      <c r="Q43" s="12">
        <f t="shared" si="17"/>
        <v>-113.43697499232715</v>
      </c>
      <c r="R43" s="12">
        <f>R39+10*LOG10(R41)</f>
        <v>-105.39536389278032</v>
      </c>
      <c r="S43" s="12">
        <f>S39+10*LOG10(S41)</f>
        <v>-105.39536389278032</v>
      </c>
      <c r="T43" s="12">
        <f>T39+10*LOG10(T41)</f>
        <v>-108.4704980676938</v>
      </c>
      <c r="U43" s="12">
        <f>U39+10*LOG10(U41)</f>
        <v>-108.4704980676938</v>
      </c>
    </row>
    <row r="44" spans="1:21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</row>
    <row r="45" spans="1:21" ht="15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  <c r="P45" s="16">
        <v>-9.94</v>
      </c>
      <c r="Q45" s="16">
        <v>-9.94</v>
      </c>
      <c r="R45" s="16">
        <v>-9.1</v>
      </c>
      <c r="S45" s="16">
        <v>-9.1</v>
      </c>
      <c r="T45" s="16">
        <v>-10.34</v>
      </c>
      <c r="U45" s="16">
        <v>-10.34</v>
      </c>
    </row>
    <row r="46" spans="1:21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</row>
    <row r="47" spans="1:2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</row>
    <row r="50" spans="1:21" ht="30">
      <c r="A50" s="7" t="s">
        <v>80</v>
      </c>
      <c r="B50" s="12">
        <f t="shared" ref="B50:G50" si="18">B43+B45+B47-B48</f>
        <v>-118.83697499232716</v>
      </c>
      <c r="C50" s="12">
        <f t="shared" si="18"/>
        <v>-118.43697499232715</v>
      </c>
      <c r="D50" s="12">
        <f t="shared" si="18"/>
        <v>-121.77697499232715</v>
      </c>
      <c r="E50" s="12">
        <f t="shared" si="18"/>
        <v>-121.77697499232715</v>
      </c>
      <c r="F50" s="71">
        <f t="shared" si="18"/>
        <v>-115.26697499232715</v>
      </c>
      <c r="G50" s="71">
        <f t="shared" si="18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19">J43+J45+J47-J48</f>
        <v>-109.39536389278032</v>
      </c>
      <c r="K50" s="12">
        <f t="shared" si="19"/>
        <v>-109.39536389278032</v>
      </c>
      <c r="L50" s="12">
        <f t="shared" ref="L50:Q50" si="20">L43+L45+L47-L48</f>
        <v>-121.81697499232715</v>
      </c>
      <c r="M50" s="12">
        <f t="shared" si="20"/>
        <v>-121.81697499232715</v>
      </c>
      <c r="N50" s="8">
        <f t="shared" si="20"/>
        <v>-104.89536389278032</v>
      </c>
      <c r="O50" s="8">
        <f t="shared" si="20"/>
        <v>-104.89536389278032</v>
      </c>
      <c r="P50" s="12">
        <f t="shared" si="20"/>
        <v>-121.37697499232715</v>
      </c>
      <c r="Q50" s="12">
        <f t="shared" si="20"/>
        <v>-121.37697499232715</v>
      </c>
      <c r="R50" s="12">
        <f>R43+R45+R47-R48</f>
        <v>-112.49536389278032</v>
      </c>
      <c r="S50" s="12">
        <f>S43+S45+S47-S48</f>
        <v>-112.49536389278032</v>
      </c>
      <c r="T50" s="12">
        <f>T43+T45+T47-T48</f>
        <v>-116.8104980676938</v>
      </c>
      <c r="U50" s="12">
        <f>U43+U45+U47-U48</f>
        <v>-116.8104980676938</v>
      </c>
    </row>
    <row r="51" spans="1:21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</row>
    <row r="52" spans="1:21" ht="30">
      <c r="A52" s="21" t="s">
        <v>83</v>
      </c>
      <c r="B52" s="22">
        <f t="shared" ref="B52:G52" si="21">B25+B30+B33-B34-B50</f>
        <v>158.60818753952378</v>
      </c>
      <c r="C52" s="22">
        <f t="shared" si="21"/>
        <v>155.20818753952378</v>
      </c>
      <c r="D52" s="22">
        <f t="shared" si="21"/>
        <v>162.63818753952378</v>
      </c>
      <c r="E52" s="22">
        <f t="shared" si="21"/>
        <v>159.63818753952378</v>
      </c>
      <c r="F52" s="76">
        <f t="shared" si="21"/>
        <v>155.03818753952379</v>
      </c>
      <c r="G52" s="76">
        <f t="shared" si="21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22">J25+J30+J33-J34-J50</f>
        <v>156.21807622317601</v>
      </c>
      <c r="K52" s="22">
        <f t="shared" si="22"/>
        <v>153.21807622317601</v>
      </c>
      <c r="L52" s="22">
        <f t="shared" ref="L52:Q52" si="23">L25+L30+L33-L34-L50</f>
        <v>161.58818753952377</v>
      </c>
      <c r="M52" s="22">
        <f t="shared" si="23"/>
        <v>158.58818753952377</v>
      </c>
      <c r="N52" s="22">
        <f t="shared" si="23"/>
        <v>151.71657643997696</v>
      </c>
      <c r="O52" s="22">
        <f t="shared" si="23"/>
        <v>148.71657643997696</v>
      </c>
      <c r="P52" s="22">
        <f t="shared" si="23"/>
        <v>161.14818753952378</v>
      </c>
      <c r="Q52" s="22">
        <f t="shared" si="23"/>
        <v>158.14818753952378</v>
      </c>
      <c r="R52" s="22">
        <f>R25+R30+R33-R34-R50</f>
        <v>156.26657643997694</v>
      </c>
      <c r="S52" s="22">
        <f>S25+S30+S33-S34-S50</f>
        <v>153.26657643997694</v>
      </c>
      <c r="T52" s="22">
        <f>T25+T30+T33-T34-T50</f>
        <v>160.58171061489043</v>
      </c>
      <c r="U52" s="22">
        <f>U25+U30+U33-U34-U50</f>
        <v>157.58171061489043</v>
      </c>
    </row>
    <row r="53" spans="1:21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</row>
    <row r="54" spans="1:2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</row>
    <row r="57" spans="1:21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</row>
    <row r="58" spans="1:21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23.25</v>
      </c>
      <c r="U59" s="82">
        <v>23.25</v>
      </c>
    </row>
    <row r="60" spans="1:21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30">
      <c r="A61" s="21" t="s">
        <v>108</v>
      </c>
      <c r="B61" s="22">
        <f t="shared" ref="B61:G61" si="24">B52-B56+B58-B59+B60</f>
        <v>124.79818753952378</v>
      </c>
      <c r="C61" s="22">
        <f t="shared" si="24"/>
        <v>121.39818753952378</v>
      </c>
      <c r="D61" s="22">
        <f t="shared" si="24"/>
        <v>128.82818753952378</v>
      </c>
      <c r="E61" s="22">
        <f t="shared" si="24"/>
        <v>125.82818753952378</v>
      </c>
      <c r="F61" s="76">
        <f t="shared" si="24"/>
        <v>121.22818753952379</v>
      </c>
      <c r="G61" s="76">
        <f t="shared" si="24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25">J52-J56+J58-J59+J60</f>
        <v>122.40807622317601</v>
      </c>
      <c r="K61" s="22">
        <f t="shared" si="25"/>
        <v>119.40807622317601</v>
      </c>
      <c r="L61" s="22">
        <f t="shared" ref="L61:Q61" si="26">L52-L56+L58-L59+L60</f>
        <v>127.77818753952377</v>
      </c>
      <c r="M61" s="22">
        <f t="shared" si="26"/>
        <v>124.77818753952377</v>
      </c>
      <c r="N61" s="22">
        <f t="shared" si="26"/>
        <v>117.88657643997695</v>
      </c>
      <c r="O61" s="22">
        <f t="shared" si="26"/>
        <v>114.88657643997695</v>
      </c>
      <c r="P61" s="22">
        <f t="shared" si="26"/>
        <v>127.33818753952377</v>
      </c>
      <c r="Q61" s="22">
        <f t="shared" si="26"/>
        <v>124.33818753952377</v>
      </c>
      <c r="R61" s="22">
        <f>R52-R56+R58-R59+R60</f>
        <v>122.45657643997694</v>
      </c>
      <c r="S61" s="22">
        <f>S52-S56+S58-S59+S60</f>
        <v>119.45657643997694</v>
      </c>
      <c r="T61" s="22">
        <f>T52-T56+T58-T59+T60</f>
        <v>129.77171061489042</v>
      </c>
      <c r="U61" s="22">
        <f>U52-U56+U58-U59+U60</f>
        <v>126.77171061489042</v>
      </c>
    </row>
    <row r="62" spans="1:21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</row>
    <row r="63" spans="1:21">
      <c r="C63" s="2"/>
      <c r="E63" s="2"/>
      <c r="G63" s="79"/>
      <c r="I63" s="79"/>
      <c r="J63" s="2"/>
      <c r="K63" s="2"/>
      <c r="L63" s="2"/>
      <c r="M63" s="2"/>
      <c r="O63" s="2"/>
      <c r="Q63" s="2"/>
      <c r="R63" s="2"/>
      <c r="S63" s="2"/>
      <c r="U63" s="2"/>
    </row>
    <row r="64" spans="1:21" ht="15">
      <c r="A64" s="21" t="s">
        <v>97</v>
      </c>
      <c r="B64" s="22">
        <f t="shared" ref="B64:G64" si="27">B17+B22-B50+B21+B33</f>
        <v>149.83697499232716</v>
      </c>
      <c r="C64" s="22">
        <f t="shared" si="27"/>
        <v>149.43697499232715</v>
      </c>
      <c r="D64" s="22">
        <f t="shared" si="27"/>
        <v>156.81697499232715</v>
      </c>
      <c r="E64" s="22">
        <f t="shared" si="27"/>
        <v>156.81697499232715</v>
      </c>
      <c r="F64" s="76">
        <f t="shared" si="27"/>
        <v>146.26697499232716</v>
      </c>
      <c r="G64" s="76">
        <f t="shared" si="27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28">J17+J22-J50+J21+J33</f>
        <v>147.44686367597939</v>
      </c>
      <c r="K64" s="22">
        <f t="shared" si="28"/>
        <v>147.44686367597939</v>
      </c>
      <c r="L64" s="22">
        <f t="shared" ref="L64:Q64" si="29">L17+L22-L50+L21+L33</f>
        <v>152.81697499232715</v>
      </c>
      <c r="M64" s="22">
        <f t="shared" si="29"/>
        <v>152.81697499232715</v>
      </c>
      <c r="N64" s="22">
        <f t="shared" si="29"/>
        <v>142.94536389278034</v>
      </c>
      <c r="O64" s="22">
        <f t="shared" si="29"/>
        <v>142.94536389278034</v>
      </c>
      <c r="P64" s="22">
        <f t="shared" si="29"/>
        <v>152.37697499232715</v>
      </c>
      <c r="Q64" s="22">
        <f t="shared" si="29"/>
        <v>152.37697499232715</v>
      </c>
      <c r="R64" s="22">
        <f>R17+R22-R50+R21+R33</f>
        <v>147.49536389278032</v>
      </c>
      <c r="S64" s="22">
        <f>S17+S22-S50+S21+S33</f>
        <v>147.49536389278032</v>
      </c>
      <c r="T64" s="22">
        <f>T17+T22-T50+T21+T33</f>
        <v>151.8104980676938</v>
      </c>
      <c r="U64" s="22">
        <f>U17+U22-U50+U21+U33</f>
        <v>151.8104980676938</v>
      </c>
    </row>
    <row r="65" spans="1:21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="55" zoomScaleNormal="55" workbookViewId="0">
      <pane xSplit="1" ySplit="1" topLeftCell="B41" activePane="bottomRight" state="frozen"/>
      <selection pane="topRight"/>
      <selection pane="bottomLeft"/>
      <selection pane="bottomRight" activeCell="R7" sqref="R7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6" width="14.375" style="1" customWidth="1"/>
    <col min="17" max="17" width="15.375" style="1" customWidth="1"/>
    <col min="18" max="16384" width="9" style="1"/>
  </cols>
  <sheetData>
    <row r="1" spans="1:1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119</v>
      </c>
      <c r="K1" s="90"/>
      <c r="L1" s="90" t="s">
        <v>125</v>
      </c>
      <c r="M1" s="90"/>
      <c r="N1" s="90" t="s">
        <v>130</v>
      </c>
      <c r="O1" s="90"/>
      <c r="P1" s="90" t="s">
        <v>134</v>
      </c>
      <c r="Q1" s="90"/>
    </row>
    <row r="2" spans="1:1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</row>
    <row r="3" spans="1:1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</row>
    <row r="4" spans="1:1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</row>
    <row r="8" spans="1:1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</row>
    <row r="9" spans="1:1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</row>
    <row r="10" spans="1:1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</row>
    <row r="11" spans="1:1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</row>
    <row r="14" spans="1:17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</row>
    <row r="15" spans="1:17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</row>
    <row r="16" spans="1:1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12">
        <f t="shared" si="2"/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</row>
    <row r="19" spans="1:1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</row>
    <row r="21" spans="1:1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 ht="15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</row>
    <row r="26" spans="1:1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</row>
    <row r="27" spans="1:1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12">
        <v>192</v>
      </c>
      <c r="O28" s="12">
        <v>192</v>
      </c>
      <c r="P28" s="12">
        <v>192</v>
      </c>
      <c r="Q28" s="12">
        <v>192</v>
      </c>
    </row>
    <row r="29" spans="1:17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4</v>
      </c>
      <c r="Q29" s="82">
        <v>4</v>
      </c>
    </row>
    <row r="30" spans="1:17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12">
        <f t="shared" si="8"/>
        <v>12.771212547196624</v>
      </c>
      <c r="O30" s="12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</row>
    <row r="31" spans="1:1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</row>
    <row r="33" spans="1:17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12</v>
      </c>
      <c r="Q33" s="16">
        <v>12</v>
      </c>
    </row>
    <row r="34" spans="1:1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-999</v>
      </c>
      <c r="O37" s="82">
        <v>-999</v>
      </c>
      <c r="P37" s="82">
        <v>-161.69999999999999</v>
      </c>
      <c r="Q37" s="82">
        <v>-161.69999999999999</v>
      </c>
    </row>
    <row r="38" spans="1:17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</row>
    <row r="39" spans="1:17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12">
        <f t="shared" si="11"/>
        <v>-169.00000000000003</v>
      </c>
      <c r="O39" s="12">
        <f t="shared" si="11"/>
        <v>-169.00000000000003</v>
      </c>
      <c r="P39" s="12">
        <f t="shared" si="11"/>
        <v>-160.9583889004532</v>
      </c>
      <c r="Q39" s="12">
        <f t="shared" si="11"/>
        <v>-160.9583889004532</v>
      </c>
    </row>
    <row r="40" spans="1:17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</row>
    <row r="41" spans="1:17" ht="15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12">
        <f t="shared" si="14"/>
        <v>360000</v>
      </c>
      <c r="O41" s="12">
        <f t="shared" si="14"/>
        <v>360000</v>
      </c>
      <c r="P41" s="12">
        <f t="shared" si="14"/>
        <v>360000</v>
      </c>
      <c r="Q41" s="12">
        <f t="shared" si="14"/>
        <v>360000</v>
      </c>
    </row>
    <row r="42" spans="1:17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</row>
    <row r="43" spans="1:17" ht="15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12">
        <f t="shared" si="17"/>
        <v>-113.43697499232715</v>
      </c>
      <c r="O43" s="12">
        <f t="shared" si="17"/>
        <v>-113.43697499232715</v>
      </c>
      <c r="P43" s="12">
        <f t="shared" si="17"/>
        <v>-105.39536389278032</v>
      </c>
      <c r="Q43" s="12">
        <f t="shared" si="17"/>
        <v>-105.39536389278032</v>
      </c>
    </row>
    <row r="44" spans="1:1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</row>
    <row r="45" spans="1:17" ht="15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  <c r="N45" s="16">
        <v>-13.72</v>
      </c>
      <c r="O45" s="16">
        <v>-13.72</v>
      </c>
      <c r="P45" s="16">
        <v>-7.3</v>
      </c>
      <c r="Q45" s="16">
        <v>-7.3</v>
      </c>
    </row>
    <row r="46" spans="1:17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</row>
    <row r="50" spans="1:17" ht="30">
      <c r="A50" s="7" t="s">
        <v>80</v>
      </c>
      <c r="B50" s="12">
        <f t="shared" ref="B50:G50" si="18">B43+B45+B47-B48</f>
        <v>-115.03697499232715</v>
      </c>
      <c r="C50" s="12">
        <f t="shared" si="18"/>
        <v>-114.83697499232716</v>
      </c>
      <c r="D50" s="12">
        <f t="shared" si="18"/>
        <v>-120.03697499232715</v>
      </c>
      <c r="E50" s="12">
        <f t="shared" si="18"/>
        <v>-120.03697499232715</v>
      </c>
      <c r="F50" s="71">
        <f t="shared" si="18"/>
        <v>-115.29697499232715</v>
      </c>
      <c r="G50" s="71">
        <f t="shared" si="18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9">J43+J45+J47-J48</f>
        <v>-106.80536389278032</v>
      </c>
      <c r="K50" s="12">
        <f t="shared" si="19"/>
        <v>-106.80536389278032</v>
      </c>
      <c r="L50" s="12">
        <f t="shared" ref="L50:Q50" si="20">L43+L45+L47-L48</f>
        <v>-119.13697499232715</v>
      </c>
      <c r="M50" s="12">
        <f t="shared" si="20"/>
        <v>-119.13697499232715</v>
      </c>
      <c r="N50" s="12">
        <f t="shared" si="20"/>
        <v>-125.15697499232715</v>
      </c>
      <c r="O50" s="12">
        <f t="shared" si="20"/>
        <v>-125.15697499232715</v>
      </c>
      <c r="P50" s="12">
        <f t="shared" si="20"/>
        <v>-110.69536389278032</v>
      </c>
      <c r="Q50" s="12">
        <f t="shared" si="20"/>
        <v>-110.69536389278032</v>
      </c>
    </row>
    <row r="51" spans="1:17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</row>
    <row r="52" spans="1:17" ht="30">
      <c r="A52" s="21" t="s">
        <v>83</v>
      </c>
      <c r="B52" s="22">
        <f t="shared" ref="B52:G52" si="21">B25+B30+B33-B34-B50</f>
        <v>154.80818753952377</v>
      </c>
      <c r="C52" s="22">
        <f t="shared" si="21"/>
        <v>151.60818753952378</v>
      </c>
      <c r="D52" s="22">
        <f t="shared" si="21"/>
        <v>160.89818753952378</v>
      </c>
      <c r="E52" s="22">
        <f t="shared" si="21"/>
        <v>157.89818753952378</v>
      </c>
      <c r="F52" s="76">
        <f t="shared" si="21"/>
        <v>155.06818753952376</v>
      </c>
      <c r="G52" s="76">
        <f t="shared" si="21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22">J25+J30+J33-J34-J50</f>
        <v>153.62807622317601</v>
      </c>
      <c r="K52" s="22">
        <f t="shared" si="22"/>
        <v>150.62807622317601</v>
      </c>
      <c r="L52" s="22">
        <f t="shared" ref="L52:Q52" si="23">L25+L30+L33-L34-L50</f>
        <v>158.90818753952379</v>
      </c>
      <c r="M52" s="22">
        <f t="shared" si="23"/>
        <v>155.90818753952379</v>
      </c>
      <c r="N52" s="22">
        <f t="shared" si="23"/>
        <v>164.92818753952378</v>
      </c>
      <c r="O52" s="22">
        <f t="shared" si="23"/>
        <v>161.92818753952378</v>
      </c>
      <c r="P52" s="22">
        <f t="shared" si="23"/>
        <v>154.46657643997696</v>
      </c>
      <c r="Q52" s="22">
        <f t="shared" si="23"/>
        <v>151.46657643997696</v>
      </c>
    </row>
    <row r="53" spans="1:17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</row>
    <row r="54" spans="1:1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</row>
    <row r="56" spans="1:17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</row>
    <row r="57" spans="1:17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</row>
    <row r="58" spans="1:17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</row>
    <row r="59" spans="1:17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</row>
    <row r="60" spans="1:17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</row>
    <row r="61" spans="1:17" ht="30">
      <c r="A61" s="21" t="s">
        <v>108</v>
      </c>
      <c r="B61" s="22">
        <f t="shared" ref="B61:G61" si="24">B52-B56+B58-B59+B60</f>
        <v>120.99818753952377</v>
      </c>
      <c r="C61" s="22">
        <f t="shared" si="24"/>
        <v>117.79818753952378</v>
      </c>
      <c r="D61" s="22">
        <f t="shared" si="24"/>
        <v>127.08818753952377</v>
      </c>
      <c r="E61" s="22">
        <f t="shared" si="24"/>
        <v>124.08818753952377</v>
      </c>
      <c r="F61" s="76">
        <f t="shared" si="24"/>
        <v>121.25818753952376</v>
      </c>
      <c r="G61" s="76">
        <f t="shared" si="24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25">J52-J56+J58-J59+J60</f>
        <v>119.81807622317601</v>
      </c>
      <c r="K61" s="22">
        <f t="shared" si="25"/>
        <v>116.81807622317601</v>
      </c>
      <c r="L61" s="22">
        <f t="shared" ref="L61:Q61" si="26">L52-L56+L58-L59+L60</f>
        <v>125.09818753952379</v>
      </c>
      <c r="M61" s="22">
        <f t="shared" si="26"/>
        <v>122.09818753952379</v>
      </c>
      <c r="N61" s="22">
        <f t="shared" si="26"/>
        <v>131.11818753952377</v>
      </c>
      <c r="O61" s="22">
        <f t="shared" si="26"/>
        <v>128.11818753952377</v>
      </c>
      <c r="P61" s="22">
        <f t="shared" si="26"/>
        <v>120.65657643997696</v>
      </c>
      <c r="Q61" s="22">
        <f t="shared" si="26"/>
        <v>117.65657643997696</v>
      </c>
    </row>
    <row r="62" spans="1:17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</row>
    <row r="63" spans="1:17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</row>
    <row r="64" spans="1:17" ht="15">
      <c r="A64" s="21" t="s">
        <v>97</v>
      </c>
      <c r="B64" s="22">
        <f t="shared" ref="B64:G64" si="27">B17+B22-B50+B21+B33</f>
        <v>146.03697499232715</v>
      </c>
      <c r="C64" s="22">
        <f t="shared" si="27"/>
        <v>145.83697499232716</v>
      </c>
      <c r="D64" s="22">
        <f t="shared" si="27"/>
        <v>155.07697499232714</v>
      </c>
      <c r="E64" s="22">
        <f t="shared" si="27"/>
        <v>155.07697499232714</v>
      </c>
      <c r="F64" s="76">
        <f t="shared" si="27"/>
        <v>146.29697499232714</v>
      </c>
      <c r="G64" s="76">
        <f t="shared" si="27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28">J17+J22-J50+J21+J33</f>
        <v>144.85686367597938</v>
      </c>
      <c r="K64" s="22">
        <f t="shared" si="28"/>
        <v>144.85686367597938</v>
      </c>
      <c r="L64" s="22">
        <f t="shared" ref="L64:Q64" si="29">L17+L22-L50+L21+L33</f>
        <v>150.13697499232717</v>
      </c>
      <c r="M64" s="22">
        <f t="shared" si="29"/>
        <v>150.13697499232717</v>
      </c>
      <c r="N64" s="22">
        <f t="shared" si="29"/>
        <v>156.15697499232715</v>
      </c>
      <c r="O64" s="22">
        <f t="shared" si="29"/>
        <v>156.15697499232715</v>
      </c>
      <c r="P64" s="22">
        <f t="shared" si="29"/>
        <v>145.69536389278034</v>
      </c>
      <c r="Q64" s="22">
        <f t="shared" si="29"/>
        <v>145.69536389278034</v>
      </c>
    </row>
    <row r="65" spans="1:17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="55" zoomScaleNormal="55" workbookViewId="0">
      <pane xSplit="1" ySplit="1" topLeftCell="B47" activePane="bottomRight" state="frozen"/>
      <selection pane="topRight"/>
      <selection pane="bottomLeft"/>
      <selection pane="bottomRight" activeCell="R1" sqref="R1:S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7" width="13.25" style="1" customWidth="1"/>
    <col min="18" max="18" width="15.625" style="2" customWidth="1"/>
    <col min="19" max="19" width="15.625" style="1" customWidth="1"/>
    <col min="20" max="16384" width="9" style="1"/>
  </cols>
  <sheetData>
    <row r="1" spans="1:19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129</v>
      </c>
      <c r="O1" s="90"/>
      <c r="P1" s="90" t="s">
        <v>135</v>
      </c>
      <c r="Q1" s="90"/>
      <c r="R1" s="90" t="s">
        <v>139</v>
      </c>
      <c r="S1" s="90"/>
    </row>
    <row r="2" spans="1:1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</row>
    <row r="3" spans="1:19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</row>
    <row r="4" spans="1:1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</row>
    <row r="8" spans="1:19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</row>
    <row r="14" spans="1:19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</row>
    <row r="15" spans="1:19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</row>
    <row r="16" spans="1:1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</row>
    <row r="19" spans="1:1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 ht="15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</row>
    <row r="26" spans="1:19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</row>
    <row r="29" spans="1:19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2">
        <v>4</v>
      </c>
      <c r="S29" s="82">
        <v>4</v>
      </c>
    </row>
    <row r="30" spans="1:19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</row>
    <row r="31" spans="1:1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</row>
    <row r="33" spans="1:19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12</v>
      </c>
      <c r="Q33" s="16">
        <v>12</v>
      </c>
      <c r="R33" s="16">
        <v>12</v>
      </c>
      <c r="S33" s="16">
        <v>12</v>
      </c>
    </row>
    <row r="34" spans="1:1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-161.69999999999999</v>
      </c>
      <c r="Q37" s="82">
        <v>-161.69999999999999</v>
      </c>
      <c r="R37" s="82">
        <v>-165.7</v>
      </c>
      <c r="S37" s="82">
        <v>-165.7</v>
      </c>
    </row>
    <row r="38" spans="1:19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</row>
    <row r="39" spans="1:19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8">
        <f t="shared" si="11"/>
        <v>-160.9583889004532</v>
      </c>
      <c r="O39" s="8">
        <f t="shared" si="11"/>
        <v>-160.9583889004532</v>
      </c>
      <c r="P39" s="12">
        <f t="shared" si="11"/>
        <v>-160.9583889004532</v>
      </c>
      <c r="Q39" s="12">
        <f t="shared" si="11"/>
        <v>-160.9583889004532</v>
      </c>
      <c r="R39" s="12">
        <f>10*LOG10(10^((R35+R36)/10)+10^(R37/10))</f>
        <v>-164.03352307536667</v>
      </c>
      <c r="S39" s="12">
        <f>10*LOG10(10^((S35+S36)/10)+10^(S37/10))</f>
        <v>-164.03352307536667</v>
      </c>
    </row>
    <row r="40" spans="1:19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 ht="15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8">
        <f t="shared" si="14"/>
        <v>360000</v>
      </c>
      <c r="O41" s="8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</row>
    <row r="42" spans="1:19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</row>
    <row r="43" spans="1:19" ht="15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8">
        <f t="shared" si="17"/>
        <v>-105.39536389278032</v>
      </c>
      <c r="O43" s="8">
        <f t="shared" si="17"/>
        <v>-105.39536389278032</v>
      </c>
      <c r="P43" s="12">
        <f t="shared" si="17"/>
        <v>-105.39536389278032</v>
      </c>
      <c r="Q43" s="12">
        <f t="shared" si="17"/>
        <v>-105.39536389278032</v>
      </c>
      <c r="R43" s="12">
        <f>R39+10*LOG10(R41)</f>
        <v>-108.4704980676938</v>
      </c>
      <c r="S43" s="12">
        <f>S39+10*LOG10(S41)</f>
        <v>-108.4704980676938</v>
      </c>
    </row>
    <row r="44" spans="1:19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141</v>
      </c>
    </row>
    <row r="45" spans="1:19" ht="15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  <c r="P45" s="16">
        <v>-5.18</v>
      </c>
      <c r="Q45" s="16">
        <v>-5.18</v>
      </c>
      <c r="R45" s="16">
        <v>-8.0399999999999991</v>
      </c>
      <c r="S45" s="16">
        <v>-8.0399999999999991</v>
      </c>
    </row>
    <row r="46" spans="1:19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30">
      <c r="A50" s="7" t="s">
        <v>80</v>
      </c>
      <c r="B50" s="12">
        <f t="shared" ref="B50:G50" si="18">B43+B45+B47-B48</f>
        <v>-112.03697499232715</v>
      </c>
      <c r="C50" s="12">
        <f t="shared" si="18"/>
        <v>-111.53697499232715</v>
      </c>
      <c r="D50" s="12">
        <f t="shared" si="18"/>
        <v>-117.51697499232715</v>
      </c>
      <c r="E50" s="12">
        <f t="shared" si="18"/>
        <v>-117.51697499232715</v>
      </c>
      <c r="F50" s="71">
        <f t="shared" si="18"/>
        <v>-115.42697499232715</v>
      </c>
      <c r="G50" s="71">
        <f t="shared" si="18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19">J43+J45+J47-J48</f>
        <v>-104.25306389278032</v>
      </c>
      <c r="K50" s="12">
        <f t="shared" si="19"/>
        <v>-104.25306389278032</v>
      </c>
      <c r="L50" s="12">
        <f t="shared" ref="L50:Q50" si="20">L43+L45+L47-L48</f>
        <v>-117.43697499232715</v>
      </c>
      <c r="M50" s="12">
        <f t="shared" si="20"/>
        <v>-117.43697499232715</v>
      </c>
      <c r="N50" s="8">
        <f t="shared" si="20"/>
        <v>-103.39536389278032</v>
      </c>
      <c r="O50" s="8">
        <f t="shared" si="20"/>
        <v>-103.39536389278032</v>
      </c>
      <c r="P50" s="12">
        <f t="shared" si="20"/>
        <v>-108.57536389278033</v>
      </c>
      <c r="Q50" s="12">
        <f t="shared" si="20"/>
        <v>-108.57536389278033</v>
      </c>
      <c r="R50" s="12">
        <f>R43+R45+R47-R48</f>
        <v>-114.51049806769379</v>
      </c>
      <c r="S50" s="12">
        <f>S43+S45+S47-S48</f>
        <v>-114.51049806769379</v>
      </c>
    </row>
    <row r="51" spans="1:19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</row>
    <row r="52" spans="1:19" ht="30">
      <c r="A52" s="21" t="s">
        <v>83</v>
      </c>
      <c r="B52" s="22">
        <f t="shared" ref="B52:G52" si="21">B25+B30+B33-B34-B50</f>
        <v>151.80818753952377</v>
      </c>
      <c r="C52" s="22">
        <f t="shared" si="21"/>
        <v>148.30818753952377</v>
      </c>
      <c r="D52" s="22">
        <f t="shared" si="21"/>
        <v>158.37818753952376</v>
      </c>
      <c r="E52" s="22">
        <f t="shared" si="21"/>
        <v>155.37818753952376</v>
      </c>
      <c r="F52" s="76">
        <f t="shared" si="21"/>
        <v>155.19818753952376</v>
      </c>
      <c r="G52" s="76">
        <f t="shared" si="21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22">J25+J30+J33-J34-J50</f>
        <v>151.07577622317601</v>
      </c>
      <c r="K52" s="22">
        <f t="shared" si="22"/>
        <v>148.07577622317601</v>
      </c>
      <c r="L52" s="22">
        <f t="shared" ref="L52:Q52" si="23">L25+L30+L33-L34-L50</f>
        <v>157.20818753952378</v>
      </c>
      <c r="M52" s="22">
        <f t="shared" si="23"/>
        <v>154.20818753952378</v>
      </c>
      <c r="N52" s="22">
        <f t="shared" si="23"/>
        <v>150.21657643997696</v>
      </c>
      <c r="O52" s="22">
        <f t="shared" si="23"/>
        <v>147.21657643997696</v>
      </c>
      <c r="P52" s="22">
        <f t="shared" si="23"/>
        <v>152.34657643997696</v>
      </c>
      <c r="Q52" s="22">
        <f t="shared" si="23"/>
        <v>149.34657643997696</v>
      </c>
      <c r="R52" s="22">
        <f>R25+R30+R33-R34-R50</f>
        <v>158.28171061489041</v>
      </c>
      <c r="S52" s="22">
        <f>S25+S30+S33-S34-S50</f>
        <v>155.28171061489041</v>
      </c>
    </row>
    <row r="53" spans="1:19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</row>
    <row r="54" spans="1:1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</row>
    <row r="56" spans="1:19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</row>
    <row r="57" spans="1:19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</row>
    <row r="58" spans="1:19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</row>
    <row r="59" spans="1:19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23.25</v>
      </c>
      <c r="S59" s="82">
        <v>23.25</v>
      </c>
    </row>
    <row r="60" spans="1:19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</row>
    <row r="61" spans="1:19" ht="30">
      <c r="A61" s="21" t="s">
        <v>108</v>
      </c>
      <c r="B61" s="22">
        <f t="shared" ref="B61:G61" si="24">B52-B56+B58-B59+B60</f>
        <v>117.99818753952377</v>
      </c>
      <c r="C61" s="22">
        <f t="shared" si="24"/>
        <v>114.49818753952377</v>
      </c>
      <c r="D61" s="22">
        <f t="shared" si="24"/>
        <v>124.56818753952376</v>
      </c>
      <c r="E61" s="22">
        <f t="shared" si="24"/>
        <v>121.56818753952376</v>
      </c>
      <c r="F61" s="76">
        <f t="shared" si="24"/>
        <v>121.38818753952376</v>
      </c>
      <c r="G61" s="76">
        <f t="shared" si="24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25">J52-J56+J58-J59+J60</f>
        <v>117.265776223176</v>
      </c>
      <c r="K61" s="22">
        <f t="shared" si="25"/>
        <v>114.265776223176</v>
      </c>
      <c r="L61" s="22">
        <f t="shared" ref="L61:Q61" si="26">L52-L56+L58-L59+L60</f>
        <v>123.39818753952378</v>
      </c>
      <c r="M61" s="22">
        <f t="shared" si="26"/>
        <v>120.39818753952378</v>
      </c>
      <c r="N61" s="22">
        <f t="shared" si="26"/>
        <v>116.38657643997695</v>
      </c>
      <c r="O61" s="22">
        <f t="shared" si="26"/>
        <v>113.38657643997695</v>
      </c>
      <c r="P61" s="22">
        <f t="shared" si="26"/>
        <v>118.53657643997695</v>
      </c>
      <c r="Q61" s="22">
        <f t="shared" si="26"/>
        <v>115.53657643997695</v>
      </c>
      <c r="R61" s="22">
        <f>R52-R56+R58-R59+R60</f>
        <v>127.47171061489041</v>
      </c>
      <c r="S61" s="22">
        <f>S52-S56+S58-S59+S60</f>
        <v>124.47171061489041</v>
      </c>
    </row>
    <row r="62" spans="1:19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</row>
    <row r="63" spans="1:19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</row>
    <row r="64" spans="1:19" ht="15">
      <c r="A64" s="21" t="s">
        <v>97</v>
      </c>
      <c r="B64" s="22">
        <f t="shared" ref="B64:G64" si="27">B17+B22-B50+B21+B33</f>
        <v>143.03697499232715</v>
      </c>
      <c r="C64" s="22">
        <f t="shared" si="27"/>
        <v>142.53697499232715</v>
      </c>
      <c r="D64" s="22">
        <f t="shared" si="27"/>
        <v>152.55697499232716</v>
      </c>
      <c r="E64" s="22">
        <f t="shared" si="27"/>
        <v>152.55697499232716</v>
      </c>
      <c r="F64" s="76">
        <f t="shared" si="27"/>
        <v>146.42697499232713</v>
      </c>
      <c r="G64" s="76">
        <f t="shared" si="27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28">J17+J22-J50+J21+J33</f>
        <v>142.30456367597938</v>
      </c>
      <c r="K64" s="22">
        <f t="shared" si="28"/>
        <v>142.30456367597938</v>
      </c>
      <c r="L64" s="22">
        <f t="shared" ref="L64:Q64" si="29">L17+L22-L50+L21+L33</f>
        <v>148.43697499232715</v>
      </c>
      <c r="M64" s="22">
        <f t="shared" si="29"/>
        <v>148.43697499232715</v>
      </c>
      <c r="N64" s="22">
        <f t="shared" si="29"/>
        <v>141.44536389278034</v>
      </c>
      <c r="O64" s="22">
        <f t="shared" si="29"/>
        <v>141.44536389278034</v>
      </c>
      <c r="P64" s="22">
        <f t="shared" si="29"/>
        <v>143.57536389278033</v>
      </c>
      <c r="Q64" s="22">
        <f t="shared" si="29"/>
        <v>143.57536389278033</v>
      </c>
      <c r="R64" s="22">
        <f>R17+R22-R50+R21+R33</f>
        <v>149.51049806769379</v>
      </c>
      <c r="S64" s="22">
        <f>S17+S22-S50+S21+S33</f>
        <v>149.51049806769379</v>
      </c>
    </row>
    <row r="65" spans="1:19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zoomScale="55" zoomScaleNormal="55" workbookViewId="0">
      <pane xSplit="1" ySplit="1" topLeftCell="I32" activePane="bottomRight" state="frozen"/>
      <selection pane="topRight"/>
      <selection pane="bottomLeft"/>
      <selection pane="bottomRight" activeCell="V1" sqref="V1:W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4.625" style="1" customWidth="1"/>
    <col min="15" max="15" width="13.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4.25" style="1" customWidth="1"/>
    <col min="21" max="21" width="15.875" style="1" customWidth="1"/>
    <col min="22" max="22" width="15.625" style="2" customWidth="1"/>
    <col min="23" max="23" width="15.625" style="1" customWidth="1"/>
    <col min="24" max="16384" width="9" style="1"/>
  </cols>
  <sheetData>
    <row r="1" spans="1:23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140</v>
      </c>
      <c r="W1" s="90"/>
    </row>
    <row r="2" spans="1:2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</row>
    <row r="3" spans="1:23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</row>
    <row r="4" spans="1:2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</row>
    <row r="5" spans="1:2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</row>
    <row r="6" spans="1:23" ht="15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  <c r="R6" s="8">
        <v>1000000</v>
      </c>
      <c r="S6" s="8">
        <v>1000000</v>
      </c>
      <c r="T6" s="8">
        <v>1000000</v>
      </c>
      <c r="U6" s="8">
        <v>1000000</v>
      </c>
      <c r="V6" s="8">
        <v>1000000</v>
      </c>
      <c r="W6" s="8">
        <v>1000000</v>
      </c>
    </row>
    <row r="7" spans="1:23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</row>
    <row r="8" spans="1:23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</row>
    <row r="9" spans="1:2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</row>
    <row r="10" spans="1:2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</row>
    <row r="11" spans="1:2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</row>
    <row r="13" spans="1:23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</row>
    <row r="14" spans="1:23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</row>
    <row r="15" spans="1:23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</row>
    <row r="16" spans="1:23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</row>
    <row r="17" spans="1:23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</row>
    <row r="18" spans="1:23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>R19+10*LOG10(R12/R14)-R20</f>
        <v>0</v>
      </c>
      <c r="S18" s="12">
        <f>S19+10*LOG10(S12/S14)-S20</f>
        <v>-3</v>
      </c>
      <c r="T18" s="12">
        <f>T19+10*LOG10(T12/T14)-T20</f>
        <v>0</v>
      </c>
      <c r="U18" s="12">
        <f>U19+10*LOG10(U12/U14)-U20</f>
        <v>-3</v>
      </c>
      <c r="V18" s="12">
        <f>V19+10*LOG10(V12/V14)-V20</f>
        <v>0</v>
      </c>
      <c r="W18" s="12">
        <f>W19+10*LOG10(W12/W14)-W20</f>
        <v>-3</v>
      </c>
    </row>
    <row r="19" spans="1:23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</row>
    <row r="20" spans="1:23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</row>
    <row r="21" spans="1:2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</row>
    <row r="22" spans="1:2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</row>
    <row r="25" spans="1:23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</row>
    <row r="26" spans="1:23" ht="15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68">
        <f t="shared" si="3"/>
        <v>22</v>
      </c>
      <c r="G26" s="68">
        <f t="shared" si="3"/>
        <v>19</v>
      </c>
      <c r="H26" s="8">
        <f>H17+H18+H21-H23-H24</f>
        <v>22</v>
      </c>
      <c r="I26" s="8">
        <f>I17+I18+I21-I23-I24</f>
        <v>19</v>
      </c>
      <c r="J26" s="8">
        <f t="shared" ref="J26:K26" si="4">J17+J18+J21-J23-J24</f>
        <v>22</v>
      </c>
      <c r="K26" s="8">
        <f t="shared" si="4"/>
        <v>19</v>
      </c>
      <c r="L26" s="8">
        <f t="shared" ref="L26:Q26" si="5">L17+L18+L21-L23-L24</f>
        <v>22</v>
      </c>
      <c r="M26" s="8">
        <f t="shared" si="5"/>
        <v>19</v>
      </c>
      <c r="N26" s="8">
        <f t="shared" si="5"/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>R17+R18+R21-R23-R24</f>
        <v>22</v>
      </c>
      <c r="S26" s="8">
        <f>S17+S18+S21-S23-S24</f>
        <v>19</v>
      </c>
      <c r="T26" s="8">
        <f>T17+T18+T21-T23-T24</f>
        <v>22</v>
      </c>
      <c r="U26" s="8">
        <f>U17+U18+U21-U23-U24</f>
        <v>19</v>
      </c>
      <c r="V26" s="8">
        <f>V17+V18+V21-V23-V24</f>
        <v>22</v>
      </c>
      <c r="W26" s="8">
        <f>W17+W18+W21-W23-W24</f>
        <v>19</v>
      </c>
    </row>
    <row r="27" spans="1:2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</row>
    <row r="29" spans="1:23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</row>
    <row r="30" spans="1:23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8">
        <f t="shared" si="8"/>
        <v>12.771212547196624</v>
      </c>
      <c r="O30" s="8">
        <f t="shared" si="8"/>
        <v>12.771212547196624</v>
      </c>
      <c r="P30" s="8">
        <f t="shared" si="8"/>
        <v>12.771212547196624</v>
      </c>
      <c r="Q30" s="8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12">
        <f>T31+10*LOG10(T28/T13)-T32</f>
        <v>12.771212547196624</v>
      </c>
      <c r="U30" s="12">
        <f>U31+10*LOG10(U28/U13)-U32</f>
        <v>12.771212547196624</v>
      </c>
      <c r="V30" s="12">
        <f>V31+10*LOG10(V28/V13)-V32</f>
        <v>12.771212547196624</v>
      </c>
      <c r="W30" s="12">
        <f>W31+10*LOG10(W28/W13)-W32</f>
        <v>12.771212547196624</v>
      </c>
    </row>
    <row r="31" spans="1:23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</row>
    <row r="32" spans="1:23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</row>
    <row r="33" spans="1:23" ht="28.5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  <c r="R33" s="16">
        <v>12</v>
      </c>
      <c r="S33" s="16">
        <v>12</v>
      </c>
      <c r="T33" s="16">
        <v>12</v>
      </c>
      <c r="U33" s="16">
        <v>12</v>
      </c>
      <c r="V33" s="16">
        <v>12</v>
      </c>
      <c r="W33" s="16">
        <v>12</v>
      </c>
    </row>
    <row r="34" spans="1:23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</row>
    <row r="35" spans="1:23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</row>
    <row r="36" spans="1:23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</row>
    <row r="37" spans="1:23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</row>
    <row r="38" spans="1:23" ht="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</row>
    <row r="39" spans="1:23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</row>
    <row r="40" spans="1:23" ht="30">
      <c r="A40" s="7" t="s">
        <v>107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1">
        <f t="shared" si="9"/>
        <v>-169.00000000000003</v>
      </c>
      <c r="G40" s="71">
        <f t="shared" si="9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0">10*LOG10(10^((J35+J36)/10)+10^(J38/10))</f>
        <v>-164.03352307536667</v>
      </c>
      <c r="K40" s="12">
        <f t="shared" si="10"/>
        <v>-164.03352307536667</v>
      </c>
      <c r="L40" s="12">
        <f t="shared" ref="L40:Q40" si="11">10*LOG10(10^((L35+L36)/10)+10^(L38/10))</f>
        <v>-169.00000000000003</v>
      </c>
      <c r="M40" s="12">
        <f t="shared" si="11"/>
        <v>-169.00000000000003</v>
      </c>
      <c r="N40" s="8">
        <f t="shared" si="11"/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>10*LOG10(10^((R35+R36)/10)+10^(R38/10))</f>
        <v>-169.00000000000003</v>
      </c>
      <c r="S40" s="12">
        <f>10*LOG10(10^((S35+S36)/10)+10^(S38/10))</f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  <c r="V40" s="12">
        <f>10*LOG10(10^((V35+V36)/10)+10^(V38/10))</f>
        <v>-164.03352307536667</v>
      </c>
      <c r="W40" s="12">
        <f>10*LOG10(10^((W35+W36)/10)+10^(W38/10))</f>
        <v>-164.03352307536667</v>
      </c>
    </row>
    <row r="41" spans="1:23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</row>
    <row r="42" spans="1:23" ht="15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12">30*360*1000</f>
        <v>10800000</v>
      </c>
      <c r="G42" s="74">
        <f t="shared" si="12"/>
        <v>10800000</v>
      </c>
      <c r="H42" s="16">
        <f t="shared" si="12"/>
        <v>10800000</v>
      </c>
      <c r="I42" s="16">
        <f t="shared" si="12"/>
        <v>10800000</v>
      </c>
      <c r="J42" s="16">
        <f t="shared" si="12"/>
        <v>10800000</v>
      </c>
      <c r="K42" s="16">
        <f t="shared" si="12"/>
        <v>10800000</v>
      </c>
      <c r="L42" s="16">
        <f t="shared" ref="L42:Q42" si="13">30*360*1000</f>
        <v>10800000</v>
      </c>
      <c r="M42" s="16">
        <f t="shared" si="13"/>
        <v>10800000</v>
      </c>
      <c r="N42" s="16">
        <f t="shared" si="13"/>
        <v>10800000</v>
      </c>
      <c r="O42" s="16">
        <f t="shared" si="13"/>
        <v>10800000</v>
      </c>
      <c r="P42" s="16">
        <f t="shared" si="13"/>
        <v>10800000</v>
      </c>
      <c r="Q42" s="16">
        <f t="shared" si="13"/>
        <v>10800000</v>
      </c>
      <c r="R42" s="16">
        <f>30*360*1000</f>
        <v>10800000</v>
      </c>
      <c r="S42" s="16">
        <f>30*360*1000</f>
        <v>10800000</v>
      </c>
      <c r="T42" s="16">
        <f>30*360*1000</f>
        <v>10800000</v>
      </c>
      <c r="U42" s="16">
        <f>30*360*1000</f>
        <v>10800000</v>
      </c>
      <c r="V42" s="16">
        <f>30*360*1000</f>
        <v>10800000</v>
      </c>
      <c r="W42" s="16">
        <f>30*360*1000</f>
        <v>10800000</v>
      </c>
    </row>
    <row r="43" spans="1:23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</row>
    <row r="44" spans="1:23" ht="15">
      <c r="A44" s="7" t="s">
        <v>72</v>
      </c>
      <c r="B44" s="12">
        <f t="shared" ref="B44:G44" si="14">B40+10*LOG10(B42)</f>
        <v>-98.66576244513054</v>
      </c>
      <c r="C44" s="12">
        <f t="shared" si="14"/>
        <v>-98.66576244513054</v>
      </c>
      <c r="D44" s="12">
        <f t="shared" si="14"/>
        <v>-98.251835593548279</v>
      </c>
      <c r="E44" s="12">
        <f t="shared" si="14"/>
        <v>-98.251835593548279</v>
      </c>
      <c r="F44" s="71">
        <f t="shared" si="14"/>
        <v>-98.66576244513054</v>
      </c>
      <c r="G44" s="71">
        <f t="shared" si="14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15">J40+10*LOG10(J42)</f>
        <v>-93.699285520497185</v>
      </c>
      <c r="K44" s="12">
        <f t="shared" si="15"/>
        <v>-93.699285520497185</v>
      </c>
      <c r="L44" s="12">
        <f t="shared" ref="L44:Q44" si="16">L40+10*LOG10(L42)</f>
        <v>-98.66576244513054</v>
      </c>
      <c r="M44" s="12">
        <f t="shared" si="16"/>
        <v>-98.66576244513054</v>
      </c>
      <c r="N44" s="8">
        <f t="shared" si="16"/>
        <v>-98.66576244513054</v>
      </c>
      <c r="O44" s="8">
        <f t="shared" si="16"/>
        <v>-98.66576244513054</v>
      </c>
      <c r="P44" s="8">
        <f t="shared" si="16"/>
        <v>-93.699285520497185</v>
      </c>
      <c r="Q44" s="8">
        <f t="shared" si="16"/>
        <v>-93.699285520497185</v>
      </c>
      <c r="R44" s="12">
        <f>R40+10*LOG10(R42)</f>
        <v>-98.66576244513054</v>
      </c>
      <c r="S44" s="12">
        <f>S40+10*LOG10(S42)</f>
        <v>-98.66576244513054</v>
      </c>
      <c r="T44" s="12">
        <f>T40+10*LOG10(T42)</f>
        <v>-93.699285520497185</v>
      </c>
      <c r="U44" s="12">
        <f>U40+10*LOG10(U42)</f>
        <v>-93.699285520497185</v>
      </c>
      <c r="V44" s="12">
        <f>V40+10*LOG10(V42)</f>
        <v>-93.699285520497185</v>
      </c>
      <c r="W44" s="12">
        <f>W40+10*LOG10(W42)</f>
        <v>-93.699285520497185</v>
      </c>
    </row>
    <row r="45" spans="1:23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</row>
    <row r="46" spans="1:23" ht="15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  <c r="R46" s="16">
        <v>-5.3</v>
      </c>
      <c r="S46" s="16">
        <v>-5.3</v>
      </c>
      <c r="T46" s="16">
        <v>-4.3</v>
      </c>
      <c r="U46" s="16">
        <v>-4.3</v>
      </c>
      <c r="V46" s="16">
        <v>-3.48</v>
      </c>
      <c r="W46" s="16">
        <v>-3.48</v>
      </c>
    </row>
    <row r="47" spans="1:2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</row>
    <row r="49" spans="1:2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</row>
    <row r="50" spans="1:2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</row>
    <row r="51" spans="1:23" ht="30">
      <c r="A51" s="7" t="s">
        <v>82</v>
      </c>
      <c r="B51" s="12">
        <f t="shared" ref="B51:G51" si="17">B44+B46+B47-B49</f>
        <v>-95.66576244513054</v>
      </c>
      <c r="C51" s="12">
        <f t="shared" si="17"/>
        <v>-95.66576244513054</v>
      </c>
      <c r="D51" s="12">
        <f t="shared" si="17"/>
        <v>-101.10183559354827</v>
      </c>
      <c r="E51" s="12">
        <f t="shared" si="17"/>
        <v>-101.10183559354827</v>
      </c>
      <c r="F51" s="71">
        <f t="shared" si="17"/>
        <v>-101.36576244513054</v>
      </c>
      <c r="G51" s="71">
        <f t="shared" si="17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18">J44+J46+J47-J49</f>
        <v>-90.949285520497185</v>
      </c>
      <c r="K51" s="12">
        <f t="shared" si="18"/>
        <v>-91.139285520497182</v>
      </c>
      <c r="L51" s="12">
        <f t="shared" ref="L51:Q51" si="19">L44+L46+L47-L49</f>
        <v>-102.96576244513054</v>
      </c>
      <c r="M51" s="12">
        <f t="shared" si="19"/>
        <v>-102.96576244513054</v>
      </c>
      <c r="N51" s="8">
        <f t="shared" si="19"/>
        <v>-107.86576244513054</v>
      </c>
      <c r="O51" s="8">
        <f t="shared" si="19"/>
        <v>-107.86576244513054</v>
      </c>
      <c r="P51" s="8">
        <f t="shared" si="19"/>
        <v>-91.799285520497179</v>
      </c>
      <c r="Q51" s="8">
        <f t="shared" si="19"/>
        <v>-91.799285520497179</v>
      </c>
      <c r="R51" s="12">
        <f>R44+R46+R47-R49</f>
        <v>-101.96576244513054</v>
      </c>
      <c r="S51" s="12">
        <f>S44+S46+S47-S49</f>
        <v>-101.96576244513054</v>
      </c>
      <c r="T51" s="12">
        <f>T44+T46+T47-T49</f>
        <v>-95.999285520497182</v>
      </c>
      <c r="U51" s="12">
        <f>U44+U46+U47-U49</f>
        <v>-95.999285520497182</v>
      </c>
      <c r="V51" s="12">
        <f>V44+V46+V47-V49</f>
        <v>-95.179285520497189</v>
      </c>
      <c r="W51" s="12">
        <f>W44+W46+W47-W49</f>
        <v>-95.179285520497189</v>
      </c>
    </row>
    <row r="52" spans="1:23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</row>
    <row r="53" spans="1:23" ht="30">
      <c r="A53" s="29" t="s">
        <v>85</v>
      </c>
      <c r="B53" s="22">
        <f t="shared" ref="B53:G53" si="20">B26+B30+B33-B34-B51</f>
        <v>139.43697499232718</v>
      </c>
      <c r="C53" s="22">
        <f t="shared" si="20"/>
        <v>136.43697499232718</v>
      </c>
      <c r="D53" s="22">
        <f t="shared" si="20"/>
        <v>141.96304814074489</v>
      </c>
      <c r="E53" s="22">
        <f t="shared" si="20"/>
        <v>138.96304814074489</v>
      </c>
      <c r="F53" s="76">
        <f t="shared" si="20"/>
        <v>145.13697499232717</v>
      </c>
      <c r="G53" s="76">
        <f t="shared" si="20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21">J26+J30+J33-J34-J51</f>
        <v>137.77199785089289</v>
      </c>
      <c r="K53" s="22">
        <f t="shared" si="21"/>
        <v>134.96199785089289</v>
      </c>
      <c r="L53" s="22">
        <f t="shared" ref="L53:Q53" si="22">L26+L30+L33-L34-L51</f>
        <v>146.73697499232716</v>
      </c>
      <c r="M53" s="22">
        <f t="shared" si="22"/>
        <v>143.73697499232716</v>
      </c>
      <c r="N53" s="22">
        <f t="shared" si="22"/>
        <v>151.63697499232717</v>
      </c>
      <c r="O53" s="22">
        <f t="shared" si="22"/>
        <v>148.63697499232717</v>
      </c>
      <c r="P53" s="22">
        <f t="shared" si="22"/>
        <v>138.6204980676938</v>
      </c>
      <c r="Q53" s="22">
        <f t="shared" si="22"/>
        <v>135.6204980676938</v>
      </c>
      <c r="R53" s="22">
        <f>R26+R30+R33-R34-R51</f>
        <v>145.73697499232716</v>
      </c>
      <c r="S53" s="22">
        <f>S26+S30+S33-S34-S51</f>
        <v>142.73697499232716</v>
      </c>
      <c r="T53" s="22">
        <f>T26+T30+T33-T34-T51</f>
        <v>139.77049806769381</v>
      </c>
      <c r="U53" s="22">
        <f>U26+U30+U33-U34-U51</f>
        <v>136.77049806769381</v>
      </c>
      <c r="V53" s="22">
        <f>V26+V30+V33-V34-V51</f>
        <v>138.95049806769381</v>
      </c>
      <c r="W53" s="22">
        <f>W26+W30+W33-W34-W51</f>
        <v>135.95049806769381</v>
      </c>
    </row>
    <row r="54" spans="1:2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</row>
    <row r="56" spans="1:23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</row>
    <row r="57" spans="1:23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</row>
    <row r="58" spans="1:23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</row>
    <row r="59" spans="1:23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</row>
    <row r="60" spans="1:23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</row>
    <row r="61" spans="1:23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</row>
    <row r="62" spans="1:23" ht="30">
      <c r="A62" s="29" t="s">
        <v>109</v>
      </c>
      <c r="B62" s="22">
        <f t="shared" ref="B62:G62" si="23">B53-B57+B58-B59+B60</f>
        <v>108.70697499232719</v>
      </c>
      <c r="C62" s="22">
        <f t="shared" si="23"/>
        <v>105.70697499232719</v>
      </c>
      <c r="D62" s="22">
        <f t="shared" si="23"/>
        <v>111.2330481407449</v>
      </c>
      <c r="E62" s="22">
        <f t="shared" si="23"/>
        <v>108.2330481407449</v>
      </c>
      <c r="F62" s="76">
        <f t="shared" si="23"/>
        <v>114.40697499232718</v>
      </c>
      <c r="G62" s="76">
        <f t="shared" si="23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24">J53-J57+J58-J59+J60</f>
        <v>107.0419978508929</v>
      </c>
      <c r="K62" s="22">
        <f t="shared" si="24"/>
        <v>104.2319978508929</v>
      </c>
      <c r="L62" s="22">
        <f t="shared" ref="L62:Q62" si="25">L53-L57+L58-L59+L60</f>
        <v>116.00697499232717</v>
      </c>
      <c r="M62" s="22">
        <f t="shared" si="25"/>
        <v>113.00697499232717</v>
      </c>
      <c r="N62" s="22">
        <f t="shared" si="25"/>
        <v>120.90697499232718</v>
      </c>
      <c r="O62" s="22">
        <f t="shared" si="25"/>
        <v>117.90697499232718</v>
      </c>
      <c r="P62" s="22">
        <f t="shared" si="25"/>
        <v>107.89049806769381</v>
      </c>
      <c r="Q62" s="22">
        <f t="shared" si="25"/>
        <v>104.89049806769381</v>
      </c>
      <c r="R62" s="22">
        <f>R53-R57+R58-R59+R60</f>
        <v>115.00697499232717</v>
      </c>
      <c r="S62" s="22">
        <f>S53-S57+S58-S59+S60</f>
        <v>112.00697499232717</v>
      </c>
      <c r="T62" s="22">
        <f>T53-T57+T58-T59+T60</f>
        <v>109.04049806769382</v>
      </c>
      <c r="U62" s="22">
        <f>U53-U57+U58-U59+U60</f>
        <v>106.04049806769382</v>
      </c>
      <c r="V62" s="22">
        <f>V53-V57+V58-V59+V60</f>
        <v>111.22049806769382</v>
      </c>
      <c r="W62" s="22">
        <f>W53-W57+W58-W59+W60</f>
        <v>108.22049806769382</v>
      </c>
    </row>
    <row r="63" spans="1:23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1:23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</row>
    <row r="65" spans="1:23" ht="15">
      <c r="A65" s="29" t="s">
        <v>98</v>
      </c>
      <c r="B65" s="22">
        <f t="shared" ref="B65:G65" si="26">B17-B23-B51+B21+B33</f>
        <v>130.66576244513055</v>
      </c>
      <c r="C65" s="22">
        <f t="shared" si="26"/>
        <v>130.66576244513055</v>
      </c>
      <c r="D65" s="22">
        <f t="shared" si="26"/>
        <v>136.14183559354828</v>
      </c>
      <c r="E65" s="22">
        <f t="shared" si="26"/>
        <v>136.14183559354828</v>
      </c>
      <c r="F65" s="76">
        <f t="shared" si="26"/>
        <v>136.36576244513054</v>
      </c>
      <c r="G65" s="76">
        <f t="shared" si="26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27">J17-J23-J51+J21+J33</f>
        <v>129.00078530369623</v>
      </c>
      <c r="K65" s="22">
        <f t="shared" si="27"/>
        <v>129.19078530369623</v>
      </c>
      <c r="L65" s="22">
        <f t="shared" ref="L65:Q65" si="28">L17-L23-L51+L21+L33</f>
        <v>137.96576244513054</v>
      </c>
      <c r="M65" s="22">
        <f t="shared" si="28"/>
        <v>137.96576244513054</v>
      </c>
      <c r="N65" s="22">
        <f t="shared" si="28"/>
        <v>142.86576244513054</v>
      </c>
      <c r="O65" s="22">
        <f t="shared" si="28"/>
        <v>142.86576244513054</v>
      </c>
      <c r="P65" s="22">
        <f t="shared" si="28"/>
        <v>129.84928552049718</v>
      </c>
      <c r="Q65" s="22">
        <f t="shared" si="28"/>
        <v>129.84928552049718</v>
      </c>
      <c r="R65" s="22">
        <f>R17-R23-R51+R21+R33</f>
        <v>136.96576244513054</v>
      </c>
      <c r="S65" s="22">
        <f>S17-S23-S51+S21+S33</f>
        <v>136.96576244513054</v>
      </c>
      <c r="T65" s="22">
        <f>T17-T23-T51+T21+T33</f>
        <v>130.99928552049718</v>
      </c>
      <c r="U65" s="22">
        <f>U17-U23-U51+U21+U33</f>
        <v>130.99928552049718</v>
      </c>
      <c r="V65" s="22">
        <f>V17-V23-V51+V21+V33</f>
        <v>130.17928552049719</v>
      </c>
      <c r="W65" s="22">
        <f>W17-W23-W51+W21+W33</f>
        <v>130.17928552049719</v>
      </c>
    </row>
  </sheetData>
  <mergeCells count="11">
    <mergeCell ref="V1:W1"/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zoomScaleNormal="85" workbookViewId="0">
      <pane xSplit="1" ySplit="1" topLeftCell="V53" activePane="bottomRight" state="frozen"/>
      <selection pane="topRight"/>
      <selection pane="bottomLeft"/>
      <selection pane="bottomRight" activeCell="AE1" sqref="AE1:AG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75" style="1" customWidth="1"/>
    <col min="21" max="21" width="14.7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30" width="17.25" style="1" customWidth="1"/>
    <col min="31" max="31" width="15.625" style="2" customWidth="1"/>
    <col min="32" max="33" width="15.625" style="1" customWidth="1"/>
    <col min="34" max="16384" width="9" style="1"/>
  </cols>
  <sheetData>
    <row r="1" spans="1:33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120</v>
      </c>
      <c r="N1" s="90"/>
      <c r="O1" s="90"/>
      <c r="P1" s="90" t="s">
        <v>125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</row>
    <row r="2" spans="1:33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</row>
    <row r="3" spans="1:33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</row>
    <row r="4" spans="1:3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</row>
    <row r="5" spans="1:3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</row>
    <row r="6" spans="1:33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/>
      <c r="AE6" s="9" t="s">
        <v>16</v>
      </c>
      <c r="AF6" s="9" t="s">
        <v>16</v>
      </c>
      <c r="AG6" s="9" t="s">
        <v>16</v>
      </c>
    </row>
    <row r="7" spans="1:33" ht="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6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/>
      <c r="AE7" s="26">
        <v>0.01</v>
      </c>
      <c r="AF7" s="26">
        <v>0.01</v>
      </c>
      <c r="AG7" s="26">
        <v>0.01</v>
      </c>
    </row>
    <row r="8" spans="1:33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/>
      <c r="AE8" s="9" t="s">
        <v>16</v>
      </c>
      <c r="AF8" s="9" t="s">
        <v>16</v>
      </c>
      <c r="AG8" s="9" t="s">
        <v>16</v>
      </c>
    </row>
    <row r="9" spans="1:3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</row>
    <row r="10" spans="1:3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</row>
    <row r="11" spans="1:33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</row>
    <row r="13" spans="1:33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</row>
    <row r="14" spans="1:33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</row>
    <row r="15" spans="1:33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</row>
    <row r="16" spans="1:33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>AE15+10*LOG10(AE4)</f>
        <v>53</v>
      </c>
      <c r="AF16" s="12">
        <f>AF15+10*LOG10(AF4)</f>
        <v>53</v>
      </c>
      <c r="AG16" s="12">
        <f>AG15+10*LOG10(AG4)</f>
        <v>53</v>
      </c>
    </row>
    <row r="17" spans="1:33" ht="30">
      <c r="A17" s="7" t="s">
        <v>35</v>
      </c>
      <c r="B17" s="12">
        <f t="shared" ref="B17:I17" si="4">B15+10*LOG10(B41/1000000)</f>
        <v>45.375437381428746</v>
      </c>
      <c r="C17" s="12">
        <f t="shared" si="4"/>
        <v>45.375437381428746</v>
      </c>
      <c r="D17" s="12">
        <f t="shared" si="4"/>
        <v>45.375437381428746</v>
      </c>
      <c r="E17" s="12">
        <f t="shared" si="4"/>
        <v>45.375437381428746</v>
      </c>
      <c r="F17" s="12">
        <f t="shared" si="4"/>
        <v>45.375437381428746</v>
      </c>
      <c r="G17" s="71">
        <f t="shared" si="4"/>
        <v>45.375437381428746</v>
      </c>
      <c r="H17" s="71">
        <f t="shared" si="4"/>
        <v>45.375437381428746</v>
      </c>
      <c r="I17" s="71">
        <f t="shared" si="4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5">M15+10*LOG10(M41/1000000)</f>
        <v>45.375437381428746</v>
      </c>
      <c r="N17" s="12">
        <f t="shared" si="5"/>
        <v>45.375437381428746</v>
      </c>
      <c r="O17" s="12">
        <f t="shared" si="5"/>
        <v>45.375437381428746</v>
      </c>
      <c r="P17" s="12">
        <f t="shared" ref="P17:U17" si="6">P15+10*LOG10(P41/1000000)</f>
        <v>45.375437381428746</v>
      </c>
      <c r="Q17" s="12">
        <f t="shared" si="6"/>
        <v>45.375437381428746</v>
      </c>
      <c r="R17" s="12">
        <f t="shared" si="6"/>
        <v>45.375437381428746</v>
      </c>
      <c r="S17" s="8">
        <f t="shared" si="6"/>
        <v>45.375437381428746</v>
      </c>
      <c r="T17" s="8">
        <f t="shared" si="6"/>
        <v>45.375437381428746</v>
      </c>
      <c r="U17" s="8">
        <f t="shared" si="6"/>
        <v>45.375437381428746</v>
      </c>
      <c r="V17" s="8">
        <f t="shared" ref="V17:AA17" si="7">V15+10*LOG10(V41/1000000)</f>
        <v>45.375437381428746</v>
      </c>
      <c r="W17" s="8">
        <f t="shared" si="7"/>
        <v>45.375437381428746</v>
      </c>
      <c r="X17" s="8">
        <f t="shared" si="7"/>
        <v>45.375437381428746</v>
      </c>
      <c r="Y17" s="12">
        <f t="shared" si="7"/>
        <v>45.375437381428746</v>
      </c>
      <c r="Z17" s="12">
        <f t="shared" si="7"/>
        <v>45.375437381428746</v>
      </c>
      <c r="AA17" s="12">
        <f t="shared" si="7"/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/>
      <c r="AE17" s="12">
        <f>AE15+10*LOG10(AE41/1000000)</f>
        <v>45.375437381428746</v>
      </c>
      <c r="AF17" s="12">
        <f>AF15+10*LOG10(AF41/1000000)</f>
        <v>45.375437381428746</v>
      </c>
      <c r="AG17" s="12">
        <f>AG15+10*LOG10(AG41/1000000)</f>
        <v>45.375437381428746</v>
      </c>
    </row>
    <row r="18" spans="1:33" ht="45">
      <c r="A18" s="14" t="s">
        <v>37</v>
      </c>
      <c r="B18" s="12">
        <f t="shared" ref="B18:I18" si="8">B19+10*LOG10(B12/B13)-B20</f>
        <v>12.771212547196624</v>
      </c>
      <c r="C18" s="12">
        <f t="shared" si="8"/>
        <v>12.771212547196624</v>
      </c>
      <c r="D18" s="12">
        <f t="shared" si="8"/>
        <v>12.771212547196624</v>
      </c>
      <c r="E18" s="12">
        <f t="shared" si="8"/>
        <v>9.8212125471966232</v>
      </c>
      <c r="F18" s="12">
        <f t="shared" si="8"/>
        <v>9.8212125471966232</v>
      </c>
      <c r="G18" s="71">
        <f t="shared" si="8"/>
        <v>12.771212547196624</v>
      </c>
      <c r="H18" s="71">
        <f t="shared" si="8"/>
        <v>12.771212547196624</v>
      </c>
      <c r="I18" s="71">
        <f t="shared" si="8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9">M19+10*LOG10(M12/M13)-M20</f>
        <v>10.121212547196624</v>
      </c>
      <c r="N18" s="12">
        <f t="shared" si="9"/>
        <v>10.121212547196624</v>
      </c>
      <c r="O18" s="12">
        <f t="shared" si="9"/>
        <v>10.121212547196624</v>
      </c>
      <c r="P18" s="12">
        <f t="shared" ref="P18:U18" si="10">P19+10*LOG10(P12/P13)-P20</f>
        <v>12.771212547196624</v>
      </c>
      <c r="Q18" s="12">
        <f t="shared" si="10"/>
        <v>12.771212547196624</v>
      </c>
      <c r="R18" s="12">
        <f t="shared" si="10"/>
        <v>12.771212547196624</v>
      </c>
      <c r="S18" s="8">
        <f t="shared" si="10"/>
        <v>12.771212547196624</v>
      </c>
      <c r="T18" s="8">
        <f t="shared" si="10"/>
        <v>12.771212547196624</v>
      </c>
      <c r="U18" s="8">
        <f t="shared" si="10"/>
        <v>12.771212547196624</v>
      </c>
      <c r="V18" s="8">
        <f t="shared" ref="V18:AA18" si="11">V19+10*LOG10(V12/V13)-V20</f>
        <v>12.771212547196624</v>
      </c>
      <c r="W18" s="8">
        <f t="shared" si="11"/>
        <v>12.771212547196624</v>
      </c>
      <c r="X18" s="8">
        <f t="shared" si="11"/>
        <v>12.771212547196624</v>
      </c>
      <c r="Y18" s="12">
        <f t="shared" si="11"/>
        <v>12.771212547196624</v>
      </c>
      <c r="Z18" s="12">
        <f t="shared" si="11"/>
        <v>12.771212547196624</v>
      </c>
      <c r="AA18" s="12">
        <f t="shared" si="11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>AE19+10*LOG10(AE12/AE13)-AE20</f>
        <v>12.771212547196624</v>
      </c>
      <c r="AF18" s="12">
        <f>AF19+10*LOG10(AF12/AF13)-AF20</f>
        <v>12.771212547196624</v>
      </c>
      <c r="AG18" s="12">
        <f>AG19+10*LOG10(AG12/AG13)-AG20</f>
        <v>12.771212547196624</v>
      </c>
    </row>
    <row r="19" spans="1:33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</row>
    <row r="20" spans="1:33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</row>
    <row r="21" spans="1:33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2">10*LOG10(N13/N14)-8</f>
        <v>7.0514997831990609</v>
      </c>
      <c r="O21" s="16">
        <f t="shared" si="12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6</v>
      </c>
      <c r="AC21" s="16">
        <v>6</v>
      </c>
      <c r="AD21" s="16"/>
      <c r="AE21" s="16">
        <v>8</v>
      </c>
      <c r="AF21" s="16">
        <v>8</v>
      </c>
      <c r="AG21" s="16">
        <v>8</v>
      </c>
    </row>
    <row r="22" spans="1:33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</row>
    <row r="23" spans="1:33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</row>
    <row r="24" spans="1:33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</row>
    <row r="25" spans="1:33" ht="15">
      <c r="A25" s="7" t="s">
        <v>49</v>
      </c>
      <c r="B25" s="12">
        <f t="shared" ref="B25:I25" si="13">B17+B18+B21+B22-B24</f>
        <v>63.146649928625379</v>
      </c>
      <c r="C25" s="12">
        <f t="shared" si="13"/>
        <v>63.146649928625379</v>
      </c>
      <c r="D25" s="12">
        <f t="shared" si="13"/>
        <v>63.146649928625379</v>
      </c>
      <c r="E25" s="12">
        <f t="shared" si="13"/>
        <v>53.806649928625369</v>
      </c>
      <c r="F25" s="12">
        <f t="shared" si="13"/>
        <v>53.806649928625369</v>
      </c>
      <c r="G25" s="71">
        <f t="shared" si="13"/>
        <v>63.146649928625379</v>
      </c>
      <c r="H25" s="71">
        <f t="shared" si="13"/>
        <v>63.146649928625379</v>
      </c>
      <c r="I25" s="71">
        <f t="shared" si="13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14">M17+M18+M21+M22-M24</f>
        <v>59.548149711824436</v>
      </c>
      <c r="N25" s="12">
        <f t="shared" si="14"/>
        <v>59.548149711824436</v>
      </c>
      <c r="O25" s="12">
        <f t="shared" si="14"/>
        <v>59.548149711824436</v>
      </c>
      <c r="P25" s="12">
        <f t="shared" ref="P25:U25" si="15">P17+P18+P21+P22-P24</f>
        <v>63.146649928625379</v>
      </c>
      <c r="Q25" s="12">
        <f t="shared" si="15"/>
        <v>63.146649928625379</v>
      </c>
      <c r="R25" s="12">
        <f t="shared" si="15"/>
        <v>63.146649928625379</v>
      </c>
      <c r="S25" s="8">
        <f t="shared" si="15"/>
        <v>65.146649928625379</v>
      </c>
      <c r="T25" s="8">
        <f t="shared" si="15"/>
        <v>65.146649928625379</v>
      </c>
      <c r="U25" s="8">
        <f t="shared" si="15"/>
        <v>65.146649928625379</v>
      </c>
      <c r="V25" s="8">
        <f t="shared" ref="V25:AA25" si="16">V17+V18+V21+V22-V24</f>
        <v>70.196649928625376</v>
      </c>
      <c r="W25" s="8">
        <f t="shared" si="16"/>
        <v>70.196649928625376</v>
      </c>
      <c r="X25" s="8">
        <f t="shared" si="16"/>
        <v>70.196649928625376</v>
      </c>
      <c r="Y25" s="12">
        <f t="shared" si="16"/>
        <v>63.146649928625379</v>
      </c>
      <c r="Z25" s="12">
        <f t="shared" si="16"/>
        <v>63.146649928625379</v>
      </c>
      <c r="AA25" s="12">
        <f t="shared" si="16"/>
        <v>63.146649928625379</v>
      </c>
      <c r="AB25" s="12">
        <f>AB17+AB18+AB21+AB22-AB24</f>
        <v>61.146649928625379</v>
      </c>
      <c r="AC25" s="12">
        <f>AC17+AC18+AC21+AC22-AC24</f>
        <v>61.146649928625379</v>
      </c>
      <c r="AD25" s="12"/>
      <c r="AE25" s="12">
        <f>AE17+AE18+AE21+AE22-AE24</f>
        <v>63.146649928625379</v>
      </c>
      <c r="AF25" s="12">
        <f>AF17+AF18+AF21+AF22-AF24</f>
        <v>63.146649928625379</v>
      </c>
      <c r="AG25" s="12">
        <f>AG17+AG18+AG21+AG22-AG24</f>
        <v>63.146649928625379</v>
      </c>
    </row>
    <row r="26" spans="1:33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/>
      <c r="AE26" s="9" t="s">
        <v>16</v>
      </c>
      <c r="AF26" s="9" t="s">
        <v>16</v>
      </c>
      <c r="AG26" s="9" t="s">
        <v>16</v>
      </c>
    </row>
    <row r="27" spans="1:33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</row>
    <row r="29" spans="1:33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</row>
    <row r="30" spans="1:33" ht="45">
      <c r="A30" s="7" t="s">
        <v>56</v>
      </c>
      <c r="B30" s="12">
        <f t="shared" ref="B30:I30" si="17">B31+10*LOG10(B28/B29)-B32</f>
        <v>0</v>
      </c>
      <c r="C30" s="12">
        <f t="shared" si="17"/>
        <v>-3</v>
      </c>
      <c r="D30" s="12">
        <f t="shared" si="17"/>
        <v>-3</v>
      </c>
      <c r="E30" s="12">
        <f t="shared" si="17"/>
        <v>0</v>
      </c>
      <c r="F30" s="12">
        <f t="shared" si="17"/>
        <v>-3</v>
      </c>
      <c r="G30" s="71">
        <f t="shared" si="17"/>
        <v>0</v>
      </c>
      <c r="H30" s="71">
        <f t="shared" si="17"/>
        <v>-3</v>
      </c>
      <c r="I30" s="71">
        <f t="shared" si="17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8">M31+10*LOG10(M28/M29)-M32</f>
        <v>0</v>
      </c>
      <c r="N30" s="12">
        <f t="shared" si="18"/>
        <v>-3</v>
      </c>
      <c r="O30" s="12">
        <f t="shared" si="18"/>
        <v>-3</v>
      </c>
      <c r="P30" s="12">
        <f t="shared" ref="P30:U30" si="19">P31+10*LOG10(P28/P29)-P32</f>
        <v>0</v>
      </c>
      <c r="Q30" s="12">
        <f t="shared" si="19"/>
        <v>-3</v>
      </c>
      <c r="R30" s="12">
        <f t="shared" si="19"/>
        <v>-3</v>
      </c>
      <c r="S30" s="8">
        <f t="shared" si="19"/>
        <v>0</v>
      </c>
      <c r="T30" s="8">
        <f t="shared" si="19"/>
        <v>-3</v>
      </c>
      <c r="U30" s="8">
        <f t="shared" si="19"/>
        <v>-3</v>
      </c>
      <c r="V30" s="8">
        <f t="shared" ref="V30:AA30" si="20">V31+10*LOG10(V28/V29)-V32</f>
        <v>0</v>
      </c>
      <c r="W30" s="8">
        <f t="shared" si="20"/>
        <v>-3</v>
      </c>
      <c r="X30" s="8">
        <f t="shared" si="20"/>
        <v>-3</v>
      </c>
      <c r="Y30" s="12">
        <f t="shared" si="20"/>
        <v>0</v>
      </c>
      <c r="Z30" s="12">
        <f t="shared" si="20"/>
        <v>-3</v>
      </c>
      <c r="AA30" s="12">
        <f t="shared" si="20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>AE31+10*LOG10(AE28/AE29)-AE32</f>
        <v>0</v>
      </c>
      <c r="AF30" s="12">
        <f>AF31+10*LOG10(AF28/AF29)-AF32</f>
        <v>-3</v>
      </c>
      <c r="AG30" s="12">
        <f>AG31+10*LOG10(AG28/AG29)-AG32</f>
        <v>-3</v>
      </c>
    </row>
    <row r="31" spans="1:33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</row>
    <row r="32" spans="1:33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</row>
    <row r="33" spans="1:33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</row>
    <row r="34" spans="1:33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</row>
    <row r="35" spans="1:33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</row>
    <row r="36" spans="1:3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</row>
    <row r="37" spans="1:33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  <c r="Y37" s="82">
        <v>-999</v>
      </c>
      <c r="Z37" s="82">
        <v>-999</v>
      </c>
      <c r="AA37" s="82">
        <v>-999</v>
      </c>
      <c r="AB37" s="82">
        <v>-169.3</v>
      </c>
      <c r="AC37" s="82">
        <v>-169.3</v>
      </c>
      <c r="AD37" s="82"/>
      <c r="AE37" s="82">
        <v>-169.3</v>
      </c>
      <c r="AF37" s="82">
        <v>-169.3</v>
      </c>
      <c r="AG37" s="82">
        <v>-169.3</v>
      </c>
    </row>
    <row r="38" spans="1:33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/>
      <c r="AE38" s="12" t="s">
        <v>16</v>
      </c>
      <c r="AF38" s="12" t="s">
        <v>16</v>
      </c>
      <c r="AG38" s="12" t="s">
        <v>16</v>
      </c>
    </row>
    <row r="39" spans="1:33" ht="30">
      <c r="A39" s="7" t="s">
        <v>106</v>
      </c>
      <c r="B39" s="12">
        <f t="shared" ref="B39:I39" si="21">10*LOG10(10^((B35+B36)/10)+10^(B37/10))</f>
        <v>-167.00000000000003</v>
      </c>
      <c r="C39" s="12">
        <f t="shared" si="21"/>
        <v>-167.00000000000003</v>
      </c>
      <c r="D39" s="12">
        <f t="shared" si="21"/>
        <v>-167.00000000000003</v>
      </c>
      <c r="E39" s="12">
        <f t="shared" si="21"/>
        <v>-167.00000000000003</v>
      </c>
      <c r="F39" s="12">
        <f t="shared" si="21"/>
        <v>-167.00000000000003</v>
      </c>
      <c r="G39" s="71">
        <f t="shared" si="21"/>
        <v>-167.00000000000003</v>
      </c>
      <c r="H39" s="71">
        <f t="shared" si="21"/>
        <v>-167.00000000000003</v>
      </c>
      <c r="I39" s="71">
        <f t="shared" si="21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22">10*LOG10(10^((M35+M36)/10)+10^(M37/10))</f>
        <v>-164.98918835931039</v>
      </c>
      <c r="N39" s="12">
        <f t="shared" si="22"/>
        <v>-164.98918835931039</v>
      </c>
      <c r="O39" s="12">
        <f t="shared" si="22"/>
        <v>-164.98918835931039</v>
      </c>
      <c r="P39" s="12">
        <f t="shared" ref="P39:U39" si="23">10*LOG10(10^((P35+P36)/10)+10^(P37/10))</f>
        <v>-167.00000000000003</v>
      </c>
      <c r="Q39" s="12">
        <f t="shared" si="23"/>
        <v>-167.00000000000003</v>
      </c>
      <c r="R39" s="12">
        <f t="shared" si="23"/>
        <v>-167.00000000000003</v>
      </c>
      <c r="S39" s="8">
        <f t="shared" si="23"/>
        <v>-167.00000000000003</v>
      </c>
      <c r="T39" s="8">
        <f t="shared" si="23"/>
        <v>-167.00000000000003</v>
      </c>
      <c r="U39" s="8">
        <f t="shared" si="23"/>
        <v>-167.00000000000003</v>
      </c>
      <c r="V39" s="8">
        <f t="shared" ref="V39:AA39" si="24">10*LOG10(10^((V35+V36)/10)+10^(V37/10))</f>
        <v>-164.98918835931039</v>
      </c>
      <c r="W39" s="8">
        <f t="shared" si="24"/>
        <v>-164.98918835931039</v>
      </c>
      <c r="X39" s="8">
        <f t="shared" si="24"/>
        <v>-164.98918835931039</v>
      </c>
      <c r="Y39" s="12">
        <f t="shared" si="24"/>
        <v>-167.00000000000003</v>
      </c>
      <c r="Z39" s="12">
        <f t="shared" si="24"/>
        <v>-167.00000000000003</v>
      </c>
      <c r="AA39" s="12">
        <f t="shared" si="24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/>
      <c r="AE39" s="12">
        <f>10*LOG10(10^((AE35+AE36)/10)+10^(AE37/10))</f>
        <v>-164.98918835931039</v>
      </c>
      <c r="AF39" s="12">
        <f>10*LOG10(10^((AF35+AF36)/10)+10^(AF37/10))</f>
        <v>-164.98918835931039</v>
      </c>
      <c r="AG39" s="12">
        <f>10*LOG10(10^((AG35+AG36)/10)+10^(AG37/10))</f>
        <v>-164.98918835931039</v>
      </c>
    </row>
    <row r="40" spans="1:33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/>
      <c r="AE40" s="9" t="s">
        <v>16</v>
      </c>
      <c r="AF40" s="9" t="s">
        <v>16</v>
      </c>
      <c r="AG40" s="9" t="s">
        <v>16</v>
      </c>
    </row>
    <row r="41" spans="1:33" ht="15">
      <c r="A41" s="20" t="s">
        <v>68</v>
      </c>
      <c r="B41" s="12">
        <f t="shared" ref="B41:I41" si="25">48*360*1000</f>
        <v>17280000</v>
      </c>
      <c r="C41" s="12">
        <f t="shared" si="25"/>
        <v>17280000</v>
      </c>
      <c r="D41" s="12">
        <f t="shared" si="25"/>
        <v>17280000</v>
      </c>
      <c r="E41" s="12">
        <f t="shared" si="25"/>
        <v>17280000</v>
      </c>
      <c r="F41" s="12">
        <f t="shared" si="25"/>
        <v>17280000</v>
      </c>
      <c r="G41" s="71">
        <f t="shared" si="25"/>
        <v>17280000</v>
      </c>
      <c r="H41" s="71">
        <f t="shared" si="25"/>
        <v>17280000</v>
      </c>
      <c r="I41" s="71">
        <f t="shared" si="25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26">48*360*1000</f>
        <v>17280000</v>
      </c>
      <c r="N41" s="12">
        <f t="shared" si="26"/>
        <v>17280000</v>
      </c>
      <c r="O41" s="12">
        <f t="shared" si="26"/>
        <v>17280000</v>
      </c>
      <c r="P41" s="12">
        <f t="shared" ref="P41:U41" si="27">48*360*1000</f>
        <v>17280000</v>
      </c>
      <c r="Q41" s="12">
        <f t="shared" si="27"/>
        <v>17280000</v>
      </c>
      <c r="R41" s="12">
        <f t="shared" si="27"/>
        <v>17280000</v>
      </c>
      <c r="S41" s="8">
        <f t="shared" si="27"/>
        <v>17280000</v>
      </c>
      <c r="T41" s="8">
        <f t="shared" si="27"/>
        <v>17280000</v>
      </c>
      <c r="U41" s="8">
        <f t="shared" si="27"/>
        <v>17280000</v>
      </c>
      <c r="V41" s="8">
        <f t="shared" ref="V41:AA41" si="28">48*360*1000</f>
        <v>17280000</v>
      </c>
      <c r="W41" s="8">
        <f t="shared" si="28"/>
        <v>17280000</v>
      </c>
      <c r="X41" s="8">
        <f t="shared" si="28"/>
        <v>17280000</v>
      </c>
      <c r="Y41" s="12">
        <f t="shared" si="28"/>
        <v>17280000</v>
      </c>
      <c r="Z41" s="12">
        <f t="shared" si="28"/>
        <v>17280000</v>
      </c>
      <c r="AA41" s="12">
        <f t="shared" si="28"/>
        <v>17280000</v>
      </c>
      <c r="AB41" s="12">
        <f>48*360*1000</f>
        <v>17280000</v>
      </c>
      <c r="AC41" s="12">
        <f>48*360*1000</f>
        <v>17280000</v>
      </c>
      <c r="AD41" s="12"/>
      <c r="AE41" s="12">
        <f>48*360*1000</f>
        <v>17280000</v>
      </c>
      <c r="AF41" s="12">
        <f>48*360*1000</f>
        <v>17280000</v>
      </c>
      <c r="AG41" s="12">
        <f>48*360*1000</f>
        <v>17280000</v>
      </c>
    </row>
    <row r="42" spans="1:33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/>
      <c r="AE42" s="12" t="s">
        <v>16</v>
      </c>
      <c r="AF42" s="12" t="s">
        <v>16</v>
      </c>
      <c r="AG42" s="12" t="s">
        <v>16</v>
      </c>
    </row>
    <row r="43" spans="1:33" ht="15">
      <c r="A43" s="7" t="s">
        <v>71</v>
      </c>
      <c r="B43" s="12">
        <f t="shared" ref="B43:I43" si="29">B39+10*LOG10(B41)</f>
        <v>-94.624562618571289</v>
      </c>
      <c r="C43" s="12">
        <f t="shared" si="29"/>
        <v>-94.624562618571289</v>
      </c>
      <c r="D43" s="12">
        <f t="shared" si="29"/>
        <v>-94.624562618571289</v>
      </c>
      <c r="E43" s="12">
        <f t="shared" si="29"/>
        <v>-94.624562618571289</v>
      </c>
      <c r="F43" s="12">
        <f t="shared" si="29"/>
        <v>-94.624562618571289</v>
      </c>
      <c r="G43" s="71">
        <f t="shared" si="29"/>
        <v>-94.624562618571289</v>
      </c>
      <c r="H43" s="71">
        <f t="shared" si="29"/>
        <v>-94.624562618571289</v>
      </c>
      <c r="I43" s="71">
        <f t="shared" si="29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30">M39+10*LOG10(M41)</f>
        <v>-92.613750977881651</v>
      </c>
      <c r="N43" s="12">
        <f t="shared" si="30"/>
        <v>-92.613750977881651</v>
      </c>
      <c r="O43" s="12">
        <f t="shared" si="30"/>
        <v>-92.613750977881651</v>
      </c>
      <c r="P43" s="12">
        <f t="shared" ref="P43:U43" si="31">P39+10*LOG10(P41)</f>
        <v>-94.624562618571289</v>
      </c>
      <c r="Q43" s="12">
        <f t="shared" si="31"/>
        <v>-94.624562618571289</v>
      </c>
      <c r="R43" s="12">
        <f t="shared" si="31"/>
        <v>-94.624562618571289</v>
      </c>
      <c r="S43" s="8">
        <f t="shared" si="31"/>
        <v>-94.624562618571289</v>
      </c>
      <c r="T43" s="8">
        <f t="shared" si="31"/>
        <v>-94.624562618571289</v>
      </c>
      <c r="U43" s="8">
        <f t="shared" si="31"/>
        <v>-94.624562618571289</v>
      </c>
      <c r="V43" s="8">
        <f t="shared" ref="V43:AA43" si="32">V39+10*LOG10(V41)</f>
        <v>-92.613750977881651</v>
      </c>
      <c r="W43" s="8">
        <f t="shared" si="32"/>
        <v>-92.613750977881651</v>
      </c>
      <c r="X43" s="8">
        <f t="shared" si="32"/>
        <v>-92.613750977881651</v>
      </c>
      <c r="Y43" s="12">
        <f t="shared" si="32"/>
        <v>-94.624562618571289</v>
      </c>
      <c r="Z43" s="12">
        <f t="shared" si="32"/>
        <v>-94.624562618571289</v>
      </c>
      <c r="AA43" s="12">
        <f t="shared" si="32"/>
        <v>-94.624562618571289</v>
      </c>
      <c r="AB43" s="12">
        <f>AB39+10*LOG10(AB41)</f>
        <v>-92.613750977881651</v>
      </c>
      <c r="AC43" s="12">
        <f>AC39+10*LOG10(AC41)</f>
        <v>-92.613750977881651</v>
      </c>
      <c r="AD43" s="12"/>
      <c r="AE43" s="12">
        <f>AE39+10*LOG10(AE41)</f>
        <v>-92.613750977881651</v>
      </c>
      <c r="AF43" s="12">
        <f>AF39+10*LOG10(AF41)</f>
        <v>-92.613750977881651</v>
      </c>
      <c r="AG43" s="12">
        <f>AG39+10*LOG10(AG41)</f>
        <v>-92.613750977881651</v>
      </c>
    </row>
    <row r="44" spans="1:33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/>
      <c r="AE44" s="9" t="s">
        <v>16</v>
      </c>
      <c r="AF44" s="9" t="s">
        <v>16</v>
      </c>
      <c r="AG44" s="9" t="s">
        <v>16</v>
      </c>
    </row>
    <row r="45" spans="1:33" ht="15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  <c r="Y45" s="16">
        <v>-10.87</v>
      </c>
      <c r="Z45" s="16">
        <v>-8.06</v>
      </c>
      <c r="AA45" s="16">
        <v>-4.63</v>
      </c>
      <c r="AB45" s="16">
        <v>-12</v>
      </c>
      <c r="AC45" s="16">
        <v>-9.4499999999999993</v>
      </c>
      <c r="AD45" s="16"/>
      <c r="AE45" s="16">
        <v>-11.23</v>
      </c>
      <c r="AF45" s="16">
        <v>-8.19</v>
      </c>
      <c r="AG45" s="16">
        <v>-5.1100000000000003</v>
      </c>
    </row>
    <row r="46" spans="1:33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/>
      <c r="AE46" s="12" t="s">
        <v>16</v>
      </c>
      <c r="AF46" s="12" t="s">
        <v>16</v>
      </c>
      <c r="AG46" s="12" t="s">
        <v>16</v>
      </c>
    </row>
    <row r="47" spans="1:33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</row>
    <row r="48" spans="1:33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  <c r="AE48" s="8">
        <v>0</v>
      </c>
      <c r="AF48" s="8">
        <v>0</v>
      </c>
      <c r="AG48" s="8">
        <v>0</v>
      </c>
    </row>
    <row r="49" spans="1:3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/>
      <c r="AE49" s="9" t="s">
        <v>16</v>
      </c>
      <c r="AF49" s="9" t="s">
        <v>16</v>
      </c>
      <c r="AG49" s="9" t="s">
        <v>16</v>
      </c>
    </row>
    <row r="50" spans="1:33" ht="30">
      <c r="A50" s="7" t="s">
        <v>80</v>
      </c>
      <c r="B50" s="12">
        <f t="shared" ref="B50:I50" si="33">B43+B45+B47-B48</f>
        <v>-103.72456261857128</v>
      </c>
      <c r="C50" s="12">
        <f t="shared" si="33"/>
        <v>-100.92456261857129</v>
      </c>
      <c r="D50" s="12">
        <f t="shared" si="33"/>
        <v>-97.424562618571287</v>
      </c>
      <c r="E50" s="12">
        <f t="shared" si="33"/>
        <v>-104.17456261857129</v>
      </c>
      <c r="F50" s="12">
        <f t="shared" si="33"/>
        <v>-98.01456261857129</v>
      </c>
      <c r="G50" s="71">
        <f t="shared" si="33"/>
        <v>-105.31456261857129</v>
      </c>
      <c r="H50" s="71">
        <f t="shared" si="33"/>
        <v>-102.00456261857128</v>
      </c>
      <c r="I50" s="71">
        <f t="shared" si="33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34">M43+M45+M47-M48</f>
        <v>-99.073750977881645</v>
      </c>
      <c r="N50" s="12">
        <f t="shared" si="34"/>
        <v>-96.393750977881652</v>
      </c>
      <c r="O50" s="12">
        <f t="shared" si="34"/>
        <v>-93.173750977881653</v>
      </c>
      <c r="P50" s="12">
        <f t="shared" ref="P50:U50" si="35">P43+P45+P47-P48</f>
        <v>-104.12456261857129</v>
      </c>
      <c r="Q50" s="12">
        <f t="shared" si="35"/>
        <v>-101.62456261857129</v>
      </c>
      <c r="R50" s="12">
        <f t="shared" si="35"/>
        <v>-98.474562618571284</v>
      </c>
      <c r="S50" s="8">
        <f t="shared" si="35"/>
        <v>-100.62456261857129</v>
      </c>
      <c r="T50" s="8">
        <f t="shared" si="35"/>
        <v>-97.824562618571292</v>
      </c>
      <c r="U50" s="8">
        <f t="shared" si="35"/>
        <v>-95.224562618571284</v>
      </c>
      <c r="V50" s="8">
        <f t="shared" ref="V50:AA50" si="36">V43+V45+V47-V48</f>
        <v>-99.113750977881651</v>
      </c>
      <c r="W50" s="8">
        <f t="shared" si="36"/>
        <v>-96.313750977881654</v>
      </c>
      <c r="X50" s="8">
        <f t="shared" si="36"/>
        <v>-92.313750977881654</v>
      </c>
      <c r="Y50" s="12">
        <f t="shared" si="36"/>
        <v>-103.49456261857129</v>
      </c>
      <c r="Z50" s="12">
        <f t="shared" si="36"/>
        <v>-100.68456261857129</v>
      </c>
      <c r="AA50" s="12">
        <f t="shared" si="36"/>
        <v>-97.254562618571285</v>
      </c>
      <c r="AB50" s="12">
        <f>AB43+AB45+AB47-AB48</f>
        <v>-102.61375097788165</v>
      </c>
      <c r="AC50" s="12">
        <f>AC43+AC45+AC47-AC48</f>
        <v>-100.06375097788165</v>
      </c>
      <c r="AD50" s="12"/>
      <c r="AE50" s="12">
        <f>AE43+AE45+AE47-AE48</f>
        <v>-101.84375097788165</v>
      </c>
      <c r="AF50" s="12">
        <f>AF43+AF45+AF47-AF48</f>
        <v>-98.803750977881649</v>
      </c>
      <c r="AG50" s="12">
        <f>AG43+AG45+AG47-AG48</f>
        <v>-95.72375097788165</v>
      </c>
    </row>
    <row r="51" spans="1:33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/>
      <c r="AE51" s="9" t="s">
        <v>16</v>
      </c>
      <c r="AF51" s="9" t="s">
        <v>16</v>
      </c>
      <c r="AG51" s="9" t="s">
        <v>16</v>
      </c>
    </row>
    <row r="52" spans="1:33" ht="30">
      <c r="A52" s="21" t="s">
        <v>83</v>
      </c>
      <c r="B52" s="22">
        <f t="shared" ref="B52:G52" si="37">B25+B30+B33-B34-B50</f>
        <v>165.87121254719665</v>
      </c>
      <c r="C52" s="22">
        <f t="shared" si="37"/>
        <v>160.07121254719667</v>
      </c>
      <c r="D52" s="22">
        <f t="shared" si="37"/>
        <v>156.57121254719667</v>
      </c>
      <c r="E52" s="22">
        <f t="shared" si="37"/>
        <v>156.98121254719666</v>
      </c>
      <c r="F52" s="22">
        <f t="shared" si="37"/>
        <v>147.82121254719667</v>
      </c>
      <c r="G52" s="76">
        <f t="shared" si="37"/>
        <v>167.46121254719668</v>
      </c>
      <c r="H52" s="76">
        <f t="shared" ref="H52:I52" si="38">H25+H30+H33-H34-H50</f>
        <v>161.15121254719668</v>
      </c>
      <c r="I52" s="76">
        <f t="shared" si="38"/>
        <v>157.19121254719667</v>
      </c>
      <c r="J52" s="22">
        <f>J25+J30+J33-J34-J50</f>
        <v>164.66121254719667</v>
      </c>
      <c r="K52" s="22">
        <f t="shared" ref="K52:O52" si="39">K25+K30+K33-K34-K50</f>
        <v>159.17121254719666</v>
      </c>
      <c r="L52" s="22">
        <f t="shared" si="39"/>
        <v>155.47121254719667</v>
      </c>
      <c r="M52" s="22">
        <f t="shared" si="39"/>
        <v>157.62190068970608</v>
      </c>
      <c r="N52" s="22">
        <f t="shared" si="39"/>
        <v>151.94190068970607</v>
      </c>
      <c r="O52" s="22">
        <f t="shared" si="39"/>
        <v>148.7219006897061</v>
      </c>
      <c r="P52" s="22">
        <f>P25+P30+P33-P34-P50</f>
        <v>166.27121254719668</v>
      </c>
      <c r="Q52" s="22">
        <f t="shared" ref="Q52:R52" si="40">Q25+Q30+Q33-Q34-Q50</f>
        <v>160.77121254719668</v>
      </c>
      <c r="R52" s="22">
        <f t="shared" si="40"/>
        <v>157.62121254719665</v>
      </c>
      <c r="S52" s="22">
        <f>S25+S30+S33-S34-S50</f>
        <v>164.77121254719668</v>
      </c>
      <c r="T52" s="22">
        <f t="shared" ref="T52:U52" si="41">T25+T30+T33-T34-T50</f>
        <v>158.97121254719667</v>
      </c>
      <c r="U52" s="22">
        <f t="shared" si="41"/>
        <v>156.37121254719665</v>
      </c>
      <c r="V52" s="22">
        <f>V25+V30+V33-V34-V50</f>
        <v>168.31040090650703</v>
      </c>
      <c r="W52" s="22">
        <f t="shared" ref="W52:X52" si="42">W25+W30+W33-W34-W50</f>
        <v>162.51040090650702</v>
      </c>
      <c r="X52" s="22">
        <f t="shared" si="42"/>
        <v>158.51040090650702</v>
      </c>
      <c r="Y52" s="22">
        <f>Y25+Y30+Y33-Y34-Y50</f>
        <v>165.64121254719669</v>
      </c>
      <c r="Z52" s="22">
        <f t="shared" ref="Z52:AA52" si="43">Z25+Z30+Z33-Z34-Z50</f>
        <v>159.83121254719669</v>
      </c>
      <c r="AA52" s="22">
        <f t="shared" si="43"/>
        <v>156.40121254719668</v>
      </c>
      <c r="AB52" s="22">
        <f>AB25+AB30+AB33-AB34-AB50</f>
        <v>162.76040090650702</v>
      </c>
      <c r="AC52" s="22">
        <f t="shared" ref="AC52" si="44">AC25+AC30+AC33-AC34-AC50</f>
        <v>157.21040090650703</v>
      </c>
      <c r="AD52" s="22"/>
      <c r="AE52" s="22">
        <f>AE25+AE30+AE33-AE34-AE50</f>
        <v>163.99040090650703</v>
      </c>
      <c r="AF52" s="22">
        <f t="shared" ref="AF52:AG52" si="45">AF25+AF30+AF33-AF34-AF50</f>
        <v>157.95040090650701</v>
      </c>
      <c r="AG52" s="22">
        <f t="shared" si="45"/>
        <v>154.87040090650703</v>
      </c>
    </row>
    <row r="53" spans="1:33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24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/>
      <c r="AE53" s="24" t="s">
        <v>16</v>
      </c>
      <c r="AF53" s="24" t="s">
        <v>16</v>
      </c>
      <c r="AG53" s="24" t="s">
        <v>16</v>
      </c>
    </row>
    <row r="54" spans="1:33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</row>
    <row r="56" spans="1:33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2"/>
      <c r="AE56" s="82">
        <v>7.56</v>
      </c>
      <c r="AF56" s="82">
        <v>7.56</v>
      </c>
      <c r="AG56" s="82">
        <v>7.56</v>
      </c>
    </row>
    <row r="57" spans="1:33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5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/>
      <c r="AE57" s="25" t="s">
        <v>16</v>
      </c>
      <c r="AF57" s="25" t="s">
        <v>16</v>
      </c>
      <c r="AG57" s="25" t="s">
        <v>16</v>
      </c>
    </row>
    <row r="58" spans="1:33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</row>
    <row r="59" spans="1:33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</row>
    <row r="60" spans="1:33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</row>
    <row r="61" spans="1:33" ht="30">
      <c r="A61" s="21" t="s">
        <v>108</v>
      </c>
      <c r="B61" s="22">
        <f t="shared" ref="B61:G61" si="46">B52-B56+B58-B59+B60</f>
        <v>132.06121254719665</v>
      </c>
      <c r="C61" s="22">
        <f t="shared" si="46"/>
        <v>126.26121254719666</v>
      </c>
      <c r="D61" s="22">
        <f t="shared" si="46"/>
        <v>122.76121254719666</v>
      </c>
      <c r="E61" s="22">
        <f t="shared" si="46"/>
        <v>123.17121254719666</v>
      </c>
      <c r="F61" s="22">
        <f t="shared" si="46"/>
        <v>114.01121254719666</v>
      </c>
      <c r="G61" s="76">
        <f t="shared" si="46"/>
        <v>133.65121254719668</v>
      </c>
      <c r="H61" s="76">
        <f t="shared" ref="H61:I61" si="47">H52-H56+H58-H59+H60</f>
        <v>127.34121254719668</v>
      </c>
      <c r="I61" s="76">
        <f t="shared" si="47"/>
        <v>123.38121254719667</v>
      </c>
      <c r="J61" s="22">
        <f>J52-J56+J58-J59+J60</f>
        <v>130.85121254719667</v>
      </c>
      <c r="K61" s="22">
        <f t="shared" ref="K61:O61" si="48">K52-K56+K58-K59+K60</f>
        <v>125.36121254719666</v>
      </c>
      <c r="L61" s="22">
        <f t="shared" si="48"/>
        <v>121.66121254719667</v>
      </c>
      <c r="M61" s="22">
        <f t="shared" si="48"/>
        <v>123.81190068970608</v>
      </c>
      <c r="N61" s="22">
        <f t="shared" si="48"/>
        <v>118.13190068970607</v>
      </c>
      <c r="O61" s="22">
        <f t="shared" si="48"/>
        <v>114.9119006897061</v>
      </c>
      <c r="P61" s="22">
        <f>P52-P56+P58-P59+P60</f>
        <v>132.46121254719668</v>
      </c>
      <c r="Q61" s="22">
        <f t="shared" ref="Q61:R61" si="49">Q52-Q56+Q58-Q59+Q60</f>
        <v>126.96121254719668</v>
      </c>
      <c r="R61" s="22">
        <f t="shared" si="49"/>
        <v>123.81121254719665</v>
      </c>
      <c r="S61" s="22">
        <f>S52-S56+S58-S59+S60</f>
        <v>130.96121254719668</v>
      </c>
      <c r="T61" s="22">
        <f t="shared" ref="T61:U61" si="50">T52-T56+T58-T59+T60</f>
        <v>125.16121254719667</v>
      </c>
      <c r="U61" s="22">
        <f t="shared" si="50"/>
        <v>122.56121254719665</v>
      </c>
      <c r="V61" s="22">
        <f>V52-V56+V58-V59+V60</f>
        <v>134.48040090650701</v>
      </c>
      <c r="W61" s="22">
        <f t="shared" ref="W61:X61" si="51">W52-W56+W58-W59+W60</f>
        <v>128.680400906507</v>
      </c>
      <c r="X61" s="22">
        <f t="shared" si="51"/>
        <v>124.680400906507</v>
      </c>
      <c r="Y61" s="22">
        <f>Y52-Y56+Y58-Y59+Y60</f>
        <v>131.83121254719669</v>
      </c>
      <c r="Z61" s="22">
        <f t="shared" ref="Z61:AA61" si="52">Z52-Z56+Z58-Z59+Z60</f>
        <v>126.02121254719668</v>
      </c>
      <c r="AA61" s="22">
        <f t="shared" si="52"/>
        <v>122.59121254719668</v>
      </c>
      <c r="AB61" s="22">
        <f>AB52-AB56+AB58-AB59+AB60</f>
        <v>128.95040090650701</v>
      </c>
      <c r="AC61" s="22">
        <f t="shared" ref="AC61" si="53">AC52-AC56+AC58-AC59+AC60</f>
        <v>123.40040090650703</v>
      </c>
      <c r="AD61" s="22"/>
      <c r="AE61" s="22">
        <f>AE52-AE56+AE58-AE59+AE60</f>
        <v>133.18040090650703</v>
      </c>
      <c r="AF61" s="22">
        <f t="shared" ref="AF61:AG61" si="54">AF52-AF56+AF58-AF59+AF60</f>
        <v>127.14040090650701</v>
      </c>
      <c r="AG61" s="22">
        <f t="shared" si="54"/>
        <v>124.06040090650703</v>
      </c>
    </row>
    <row r="62" spans="1:33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24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/>
      <c r="AE62" s="24" t="s">
        <v>16</v>
      </c>
      <c r="AF62" s="24" t="s">
        <v>16</v>
      </c>
      <c r="AG62" s="24" t="s">
        <v>16</v>
      </c>
    </row>
    <row r="63" spans="1:33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</row>
    <row r="64" spans="1:33" ht="15">
      <c r="A64" s="21" t="s">
        <v>97</v>
      </c>
      <c r="B64" s="22">
        <f t="shared" ref="B64:I64" si="55">B17+B22-B50+B21+B33</f>
        <v>157.10000000000002</v>
      </c>
      <c r="C64" s="22">
        <f t="shared" si="55"/>
        <v>154.30000000000004</v>
      </c>
      <c r="D64" s="22">
        <f t="shared" si="55"/>
        <v>150.80000000000004</v>
      </c>
      <c r="E64" s="22">
        <f t="shared" si="55"/>
        <v>151.16000000000005</v>
      </c>
      <c r="F64" s="22">
        <f t="shared" si="55"/>
        <v>145.00000000000006</v>
      </c>
      <c r="G64" s="76">
        <f t="shared" si="55"/>
        <v>158.69000000000003</v>
      </c>
      <c r="H64" s="76">
        <f t="shared" si="55"/>
        <v>155.38000000000002</v>
      </c>
      <c r="I64" s="76">
        <f t="shared" si="55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56">M17+M22-M50+M21+M33</f>
        <v>151.50068814250946</v>
      </c>
      <c r="N64" s="22">
        <f t="shared" si="56"/>
        <v>148.82068814250945</v>
      </c>
      <c r="O64" s="22">
        <f t="shared" si="56"/>
        <v>145.60068814250945</v>
      </c>
      <c r="P64" s="22">
        <f t="shared" ref="P64:U64" si="57">P17+P22-P50+P21+P33</f>
        <v>157.50000000000003</v>
      </c>
      <c r="Q64" s="22">
        <f t="shared" si="57"/>
        <v>155.00000000000003</v>
      </c>
      <c r="R64" s="22">
        <f t="shared" si="57"/>
        <v>151.85000000000002</v>
      </c>
      <c r="S64" s="22">
        <f t="shared" si="57"/>
        <v>156.00000000000003</v>
      </c>
      <c r="T64" s="22">
        <f t="shared" si="57"/>
        <v>153.20000000000005</v>
      </c>
      <c r="U64" s="22">
        <f t="shared" si="57"/>
        <v>150.60000000000002</v>
      </c>
      <c r="V64" s="22">
        <f t="shared" ref="V64:AA64" si="58">V17+V22-V50+V21+V33</f>
        <v>159.5391883593104</v>
      </c>
      <c r="W64" s="22">
        <f t="shared" si="58"/>
        <v>156.73918835931042</v>
      </c>
      <c r="X64" s="22">
        <f t="shared" si="58"/>
        <v>152.73918835931042</v>
      </c>
      <c r="Y64" s="22">
        <f t="shared" si="58"/>
        <v>156.87000000000003</v>
      </c>
      <c r="Z64" s="22">
        <f t="shared" si="58"/>
        <v>154.06000000000003</v>
      </c>
      <c r="AA64" s="22">
        <f t="shared" si="58"/>
        <v>150.63000000000002</v>
      </c>
      <c r="AB64" s="22">
        <f>AB17+AB22-AB50+AB21+AB33</f>
        <v>153.98918835931039</v>
      </c>
      <c r="AC64" s="22">
        <f>AC17+AC22-AC50+AC21+AC33</f>
        <v>151.43918835931041</v>
      </c>
      <c r="AD64" s="22"/>
      <c r="AE64" s="22">
        <f>AE17+AE22-AE50+AE21+AE33</f>
        <v>155.21918835931041</v>
      </c>
      <c r="AF64" s="22">
        <f>AF17+AF22-AF50+AF21+AF33</f>
        <v>152.17918835931039</v>
      </c>
      <c r="AG64" s="22">
        <f>AG17+AG22-AG50+AG21+AG33</f>
        <v>149.0991883593104</v>
      </c>
    </row>
    <row r="65" spans="1:33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24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/>
      <c r="AE65" s="24" t="s">
        <v>16</v>
      </c>
      <c r="AF65" s="24" t="s">
        <v>16</v>
      </c>
      <c r="AG65" s="24" t="s">
        <v>16</v>
      </c>
    </row>
  </sheetData>
  <mergeCells count="11">
    <mergeCell ref="AE1:AG1"/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dcmitype/"/>
    <ds:schemaRef ds:uri="f0c1c198-6772-4070-9fed-c99b54821fd3"/>
    <ds:schemaRef ds:uri="http://schemas.microsoft.com/office/infopath/2007/PartnerControls"/>
    <ds:schemaRef ds:uri="http://purl.org/dc/elements/1.1/"/>
    <ds:schemaRef ds:uri="http://schemas.microsoft.com/office/2006/metadata/properties"/>
    <ds:schemaRef ds:uri="caa248ac-567e-4f8a-83ad-95641c120e6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PDSCH</vt:lpstr>
      <vt:lpstr>PDCCH USS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Frank</cp:lastModifiedBy>
  <cp:lastPrinted>2006-01-19T03:50:00Z</cp:lastPrinted>
  <dcterms:created xsi:type="dcterms:W3CDTF">2003-11-11T03:59:00Z</dcterms:created>
  <dcterms:modified xsi:type="dcterms:W3CDTF">2020-10-21T08:37:05Z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