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D:\3GPP meetings\WG1_RL1\2020\RAN1#103-e\RedCap\"/>
    </mc:Choice>
  </mc:AlternateContent>
  <xr:revisionPtr revIDLastSave="0" documentId="13_ncr:1_{DFA2E806-9237-45BB-AA26-FC0E1E95A587}" xr6:coauthVersionLast="36" xr6:coauthVersionMax="36" xr10:uidLastSave="{00000000-0000-0000-0000-000000000000}"/>
  <bookViews>
    <workbookView xWindow="0" yWindow="0" windowWidth="24000" windowHeight="10188" tabRatio="774" firstSheet="3" activeTab="1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</workbook>
</file>

<file path=xl/calcChain.xml><?xml version="1.0" encoding="utf-8"?>
<calcChain xmlns="http://schemas.openxmlformats.org/spreadsheetml/2006/main">
  <c r="C41" i="57" l="1"/>
  <c r="B41" i="57"/>
  <c r="C39" i="57"/>
  <c r="B39" i="57"/>
  <c r="C33" i="57"/>
  <c r="B33" i="57"/>
  <c r="C30" i="57"/>
  <c r="B30" i="57"/>
  <c r="C25" i="57"/>
  <c r="C18" i="57"/>
  <c r="B18" i="57"/>
  <c r="B25" i="57" s="1"/>
  <c r="D42" i="56"/>
  <c r="C42" i="56"/>
  <c r="B42" i="56"/>
  <c r="B17" i="56" s="1"/>
  <c r="D40" i="56"/>
  <c r="D44" i="56" s="1"/>
  <c r="D51" i="56" s="1"/>
  <c r="C40" i="56"/>
  <c r="C44" i="56" s="1"/>
  <c r="C51" i="56" s="1"/>
  <c r="C65" i="56" s="1"/>
  <c r="B40" i="56"/>
  <c r="D30" i="56"/>
  <c r="C30" i="56"/>
  <c r="B30" i="56"/>
  <c r="D21" i="56"/>
  <c r="C21" i="56"/>
  <c r="B21" i="56"/>
  <c r="D18" i="56"/>
  <c r="C18" i="56"/>
  <c r="B18" i="56"/>
  <c r="D17" i="56"/>
  <c r="C17" i="56"/>
  <c r="C26" i="56" s="1"/>
  <c r="D16" i="56"/>
  <c r="C16" i="56"/>
  <c r="B16" i="56"/>
  <c r="K42" i="54"/>
  <c r="J42" i="54"/>
  <c r="K40" i="54"/>
  <c r="J40" i="54"/>
  <c r="J44" i="54" s="1"/>
  <c r="J51" i="54" s="1"/>
  <c r="K33" i="54"/>
  <c r="J33" i="54"/>
  <c r="K30" i="54"/>
  <c r="J30" i="54"/>
  <c r="K26" i="54"/>
  <c r="K18" i="54"/>
  <c r="J18" i="54"/>
  <c r="J26" i="54" s="1"/>
  <c r="O42" i="53"/>
  <c r="O17" i="53" s="1"/>
  <c r="O65" i="53" s="1"/>
  <c r="N42" i="53"/>
  <c r="N17" i="53" s="1"/>
  <c r="M42" i="53"/>
  <c r="M17" i="53" s="1"/>
  <c r="O40" i="53"/>
  <c r="O44" i="53" s="1"/>
  <c r="O51" i="53" s="1"/>
  <c r="N40" i="53"/>
  <c r="N44" i="53" s="1"/>
  <c r="N51" i="53" s="1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N42" i="52"/>
  <c r="M42" i="52"/>
  <c r="O40" i="52"/>
  <c r="O44" i="52" s="1"/>
  <c r="O51" i="52" s="1"/>
  <c r="O65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O26" i="52" s="1"/>
  <c r="O53" i="52" s="1"/>
  <c r="O62" i="52" s="1"/>
  <c r="N18" i="52"/>
  <c r="M18" i="52"/>
  <c r="O17" i="52"/>
  <c r="N17" i="52"/>
  <c r="M17" i="52"/>
  <c r="M26" i="52" s="1"/>
  <c r="M53" i="52" s="1"/>
  <c r="M62" i="52" s="1"/>
  <c r="O16" i="52"/>
  <c r="N16" i="52"/>
  <c r="M16" i="52"/>
  <c r="M65" i="53" l="1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B52" i="57"/>
  <c r="B61" i="57" s="1"/>
  <c r="C43" i="57"/>
  <c r="C50" i="57" s="1"/>
  <c r="C64" i="57" s="1"/>
  <c r="N26" i="53"/>
  <c r="N53" i="53" s="1"/>
  <c r="N62" i="53" s="1"/>
  <c r="M44" i="53"/>
  <c r="M51" i="53" s="1"/>
  <c r="B44" i="56"/>
  <c r="B51" i="56" s="1"/>
  <c r="N65" i="53"/>
  <c r="B65" i="56"/>
  <c r="B26" i="56"/>
  <c r="B53" i="56" s="1"/>
  <c r="B62" i="56" s="1"/>
  <c r="C53" i="56"/>
  <c r="C62" i="56" s="1"/>
  <c r="D26" i="56"/>
  <c r="D53" i="56" s="1"/>
  <c r="D62" i="56" s="1"/>
  <c r="K53" i="54"/>
  <c r="K62" i="54" s="1"/>
  <c r="M26" i="53"/>
  <c r="O26" i="53"/>
  <c r="O53" i="53" s="1"/>
  <c r="O62" i="53" s="1"/>
  <c r="N26" i="52"/>
  <c r="N53" i="52" s="1"/>
  <c r="N62" i="52" s="1"/>
  <c r="C52" i="57" l="1"/>
  <c r="C61" i="57" s="1"/>
  <c r="M53" i="53"/>
  <c r="M62" i="53" s="1"/>
  <c r="O41" i="51"/>
  <c r="N41" i="51"/>
  <c r="N17" i="51" s="1"/>
  <c r="M41" i="51"/>
  <c r="M17" i="51" s="1"/>
  <c r="O39" i="51"/>
  <c r="O43" i="51" s="1"/>
  <c r="O50" i="51" s="1"/>
  <c r="N39" i="51"/>
  <c r="N43" i="51" s="1"/>
  <c r="N50" i="51" s="1"/>
  <c r="M39" i="51"/>
  <c r="M43" i="51" s="1"/>
  <c r="M50" i="51" s="1"/>
  <c r="O30" i="51"/>
  <c r="N30" i="51"/>
  <c r="M30" i="51"/>
  <c r="O21" i="51"/>
  <c r="N21" i="51"/>
  <c r="M21" i="51"/>
  <c r="O18" i="51"/>
  <c r="N18" i="51"/>
  <c r="M18" i="51"/>
  <c r="O17" i="51"/>
  <c r="O16" i="51"/>
  <c r="N16" i="51"/>
  <c r="M16" i="51"/>
  <c r="K42" i="50"/>
  <c r="J42" i="50"/>
  <c r="K40" i="50"/>
  <c r="K44" i="50" s="1"/>
  <c r="K51" i="50" s="1"/>
  <c r="K65" i="50" s="1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J64" i="49" s="1"/>
  <c r="K33" i="49"/>
  <c r="J33" i="49"/>
  <c r="K30" i="49"/>
  <c r="J30" i="49"/>
  <c r="K25" i="49"/>
  <c r="K18" i="49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25" i="47"/>
  <c r="K18" i="47"/>
  <c r="J18" i="47"/>
  <c r="J25" i="47" s="1"/>
  <c r="O44" i="46"/>
  <c r="O51" i="46" s="1"/>
  <c r="N44" i="46"/>
  <c r="N51" i="46" s="1"/>
  <c r="P42" i="46"/>
  <c r="P17" i="46" s="1"/>
  <c r="O42" i="46"/>
  <c r="N42" i="46"/>
  <c r="N17" i="46" s="1"/>
  <c r="P40" i="46"/>
  <c r="O40" i="46"/>
  <c r="N40" i="46"/>
  <c r="P30" i="46"/>
  <c r="O30" i="46"/>
  <c r="N30" i="46"/>
  <c r="P21" i="46"/>
  <c r="O21" i="46"/>
  <c r="N21" i="46"/>
  <c r="P18" i="46"/>
  <c r="O18" i="46"/>
  <c r="N18" i="46"/>
  <c r="O17" i="46"/>
  <c r="P16" i="46"/>
  <c r="O16" i="46"/>
  <c r="N16" i="46"/>
  <c r="P41" i="32"/>
  <c r="P17" i="32" s="1"/>
  <c r="O41" i="32"/>
  <c r="O17" i="32" s="1"/>
  <c r="N41" i="32"/>
  <c r="N17" i="32" s="1"/>
  <c r="P39" i="32"/>
  <c r="P43" i="32" s="1"/>
  <c r="P50" i="32" s="1"/>
  <c r="O39" i="32"/>
  <c r="N39" i="32"/>
  <c r="N43" i="32" s="1"/>
  <c r="N50" i="32" s="1"/>
  <c r="P30" i="32"/>
  <c r="O30" i="32"/>
  <c r="N30" i="32"/>
  <c r="P21" i="32"/>
  <c r="O21" i="32"/>
  <c r="N21" i="32"/>
  <c r="P18" i="32"/>
  <c r="O18" i="32"/>
  <c r="N18" i="32"/>
  <c r="P16" i="32"/>
  <c r="O16" i="32"/>
  <c r="N16" i="32"/>
  <c r="P64" i="32" l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J43" i="48"/>
  <c r="J50" i="48" s="1"/>
  <c r="J64" i="48" s="1"/>
  <c r="K43" i="48"/>
  <c r="K50" i="48" s="1"/>
  <c r="K64" i="48" s="1"/>
  <c r="O65" i="46"/>
  <c r="M64" i="51"/>
  <c r="M25" i="51"/>
  <c r="M52" i="51" s="1"/>
  <c r="M61" i="51" s="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J52" i="48"/>
  <c r="J61" i="48" s="1"/>
  <c r="K52" i="48"/>
  <c r="K61" i="48" s="1"/>
  <c r="J52" i="47"/>
  <c r="J61" i="47" s="1"/>
  <c r="K52" i="47"/>
  <c r="K61" i="47" s="1"/>
  <c r="P65" i="46"/>
  <c r="N65" i="46"/>
  <c r="N26" i="46"/>
  <c r="N53" i="46" s="1"/>
  <c r="N62" i="46" s="1"/>
  <c r="O26" i="46"/>
  <c r="O53" i="46" s="1"/>
  <c r="O62" i="46" s="1"/>
  <c r="P26" i="46"/>
  <c r="P53" i="46" s="1"/>
  <c r="P62" i="46" s="1"/>
  <c r="N64" i="32"/>
  <c r="N25" i="32"/>
  <c r="N52" i="32" s="1"/>
  <c r="N61" i="32" s="1"/>
  <c r="O25" i="32"/>
  <c r="P25" i="32"/>
  <c r="P52" i="32" s="1"/>
  <c r="P61" i="32" s="1"/>
  <c r="J53" i="50" l="1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17" i="53" s="1"/>
  <c r="K42" i="53"/>
  <c r="J42" i="53"/>
  <c r="L40" i="53"/>
  <c r="K40" i="53"/>
  <c r="K44" i="53" s="1"/>
  <c r="K51" i="53" s="1"/>
  <c r="J40" i="53"/>
  <c r="L30" i="53"/>
  <c r="K30" i="53"/>
  <c r="J30" i="53"/>
  <c r="L18" i="53"/>
  <c r="K18" i="53"/>
  <c r="J18" i="53"/>
  <c r="K17" i="53"/>
  <c r="J17" i="53"/>
  <c r="J26" i="53" s="1"/>
  <c r="L16" i="53"/>
  <c r="K16" i="53"/>
  <c r="J16" i="53"/>
  <c r="L42" i="52"/>
  <c r="L17" i="52" s="1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H44" i="50" s="1"/>
  <c r="H51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K44" i="46" s="1"/>
  <c r="K51" i="46" s="1"/>
  <c r="M30" i="46"/>
  <c r="L30" i="46"/>
  <c r="K30" i="46"/>
  <c r="M18" i="46"/>
  <c r="L18" i="46"/>
  <c r="K18" i="46"/>
  <c r="M16" i="46"/>
  <c r="L16" i="46"/>
  <c r="K16" i="46"/>
  <c r="J44" i="52" l="1"/>
  <c r="J51" i="52" s="1"/>
  <c r="L44" i="46"/>
  <c r="L51" i="46" s="1"/>
  <c r="J44" i="53"/>
  <c r="J51" i="53" s="1"/>
  <c r="M44" i="46"/>
  <c r="M51" i="46" s="1"/>
  <c r="H43" i="47"/>
  <c r="H50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L44" i="53"/>
  <c r="L51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M52" i="32" s="1"/>
  <c r="M61" i="32" s="1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I53" i="50"/>
  <c r="I62" i="50" s="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52" i="47"/>
  <c r="H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J52" i="51" l="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G44" i="50" s="1"/>
  <c r="G51" i="50" s="1"/>
  <c r="G65" i="50" s="1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G43" i="48" s="1"/>
  <c r="G50" i="48" s="1"/>
  <c r="G64" i="48" s="1"/>
  <c r="F39" i="48"/>
  <c r="G30" i="48"/>
  <c r="F30" i="48"/>
  <c r="G25" i="48"/>
  <c r="G18" i="48"/>
  <c r="F18" i="48"/>
  <c r="F25" i="48" s="1"/>
  <c r="G41" i="47"/>
  <c r="F41" i="47"/>
  <c r="F43" i="47" s="1"/>
  <c r="F50" i="47" s="1"/>
  <c r="F64" i="47" s="1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I17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C17" i="52"/>
  <c r="B17" i="52"/>
  <c r="F16" i="52"/>
  <c r="E16" i="52"/>
  <c r="D16" i="52"/>
  <c r="C16" i="52"/>
  <c r="B16" i="52"/>
  <c r="F41" i="5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7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C26" i="50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D52" i="49" s="1"/>
  <c r="D61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C25" i="48"/>
  <c r="E18" i="48"/>
  <c r="E25" i="48" s="1"/>
  <c r="E52" i="48" s="1"/>
  <c r="E61" i="48" s="1"/>
  <c r="D18" i="48"/>
  <c r="D25" i="48" s="1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E41" i="32"/>
  <c r="D41" i="32"/>
  <c r="C41" i="32"/>
  <c r="B41" i="32"/>
  <c r="B17" i="32" s="1"/>
  <c r="G39" i="32"/>
  <c r="G43" i="32" s="1"/>
  <c r="G50" i="32" s="1"/>
  <c r="E39" i="32"/>
  <c r="E43" i="32" s="1"/>
  <c r="E50" i="32" s="1"/>
  <c r="D39" i="32"/>
  <c r="D43" i="32" s="1"/>
  <c r="D50" i="32" s="1"/>
  <c r="C39" i="32"/>
  <c r="B39" i="32"/>
  <c r="G30" i="32"/>
  <c r="E30" i="32"/>
  <c r="D30" i="32"/>
  <c r="C30" i="32"/>
  <c r="B30" i="32"/>
  <c r="G18" i="32"/>
  <c r="E18" i="32"/>
  <c r="D18" i="32"/>
  <c r="C18" i="32"/>
  <c r="B18" i="32"/>
  <c r="G17" i="32"/>
  <c r="E17" i="32"/>
  <c r="D17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E45" i="31"/>
  <c r="C45" i="3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E23" i="31"/>
  <c r="E31" i="31" s="1"/>
  <c r="D23" i="31"/>
  <c r="D30" i="31" s="1"/>
  <c r="C23" i="31"/>
  <c r="B23" i="31"/>
  <c r="B22" i="31"/>
  <c r="C21" i="31"/>
  <c r="B21" i="31"/>
  <c r="E47" i="29"/>
  <c r="C47" i="29"/>
  <c r="C22" i="29" s="1"/>
  <c r="D46" i="29"/>
  <c r="B46" i="29"/>
  <c r="B22" i="29" s="1"/>
  <c r="E45" i="29"/>
  <c r="E49" i="29" s="1"/>
  <c r="E56" i="29" s="1"/>
  <c r="E70" i="29" s="1"/>
  <c r="C45" i="29"/>
  <c r="C49" i="29" s="1"/>
  <c r="C56" i="29" s="1"/>
  <c r="D44" i="29"/>
  <c r="B44" i="29"/>
  <c r="E35" i="29"/>
  <c r="D35" i="29"/>
  <c r="C35" i="29"/>
  <c r="B35" i="29"/>
  <c r="E23" i="29"/>
  <c r="E31" i="29" s="1"/>
  <c r="E58" i="29" s="1"/>
  <c r="E67" i="29" s="1"/>
  <c r="D23" i="29"/>
  <c r="D30" i="29" s="1"/>
  <c r="C23" i="29"/>
  <c r="B23" i="29"/>
  <c r="C21" i="29"/>
  <c r="B21" i="29"/>
  <c r="C58" i="31" l="1"/>
  <c r="C67" i="31" s="1"/>
  <c r="G65" i="46"/>
  <c r="C52" i="48"/>
  <c r="C61" i="48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D57" i="31"/>
  <c r="D66" i="31" s="1"/>
  <c r="B48" i="29"/>
  <c r="B55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G43" i="51"/>
  <c r="G50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G52" i="49"/>
  <c r="G61" i="49" s="1"/>
  <c r="H65" i="46"/>
  <c r="D64" i="32"/>
  <c r="E44" i="46"/>
  <c r="E51" i="46" s="1"/>
  <c r="C43" i="51"/>
  <c r="C50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G64" i="51"/>
  <c r="C64" i="51"/>
  <c r="G53" i="54"/>
  <c r="G62" i="54" s="1"/>
  <c r="C70" i="31"/>
  <c r="D65" i="46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F52" i="47"/>
  <c r="F61" i="47" s="1"/>
  <c r="J65" i="46"/>
  <c r="I65" i="46"/>
  <c r="I26" i="46"/>
  <c r="I53" i="46" s="1"/>
  <c r="I62" i="46" s="1"/>
  <c r="J26" i="46"/>
  <c r="J53" i="46" s="1"/>
  <c r="J62" i="46" s="1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B69" i="29"/>
  <c r="G64" i="32"/>
  <c r="E52" i="47"/>
  <c r="E61" i="47" s="1"/>
  <c r="B65" i="53"/>
  <c r="B52" i="49"/>
  <c r="B61" i="49" s="1"/>
  <c r="E26" i="52"/>
  <c r="E53" i="52" s="1"/>
  <c r="E62" i="52" s="1"/>
  <c r="E65" i="52"/>
  <c r="C65" i="53"/>
  <c r="B65" i="52"/>
  <c r="E65" i="46"/>
  <c r="E26" i="46"/>
  <c r="B64" i="32"/>
  <c r="B65" i="46"/>
  <c r="D52" i="48"/>
  <c r="D61" i="48" s="1"/>
  <c r="E52" i="49"/>
  <c r="E61" i="49" s="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B57" i="29" s="1"/>
  <c r="B66" i="29" s="1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H53" i="52" l="1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<sst xmlns="http://schemas.openxmlformats.org/spreadsheetml/2006/main" count="3333" uniqueCount="124">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</sst>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_ "/>
    <numFmt numFmtId="177" formatCode="0.00_ "/>
  </numFmts>
  <fonts count="15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3" x14ac:dyDescent="0.45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16384" width="9" style="1"/>
  </cols>
  <sheetData>
    <row r="1" spans="1:6" x14ac:dyDescent="0.45">
      <c r="A1" s="39" t="s">
        <v>0</v>
      </c>
    </row>
    <row r="2" spans="1:6" ht="28.2" x14ac:dyDescent="0.45">
      <c r="A2" s="40" t="s">
        <v>1</v>
      </c>
    </row>
    <row r="3" spans="1:6" x14ac:dyDescent="0.45">
      <c r="A3" s="29" t="s">
        <v>2</v>
      </c>
    </row>
    <row r="5" spans="1:6" ht="28.35" customHeight="1" x14ac:dyDescent="0.45">
      <c r="A5" s="41" t="s">
        <v>3</v>
      </c>
      <c r="B5" s="85" t="s">
        <v>4</v>
      </c>
      <c r="C5" s="85"/>
      <c r="D5" s="85"/>
      <c r="E5" s="85"/>
      <c r="F5" s="85"/>
    </row>
    <row r="6" spans="1:6" x14ac:dyDescent="0.45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 x14ac:dyDescent="0.45">
      <c r="A7" s="43" t="s">
        <v>10</v>
      </c>
      <c r="B7" s="13"/>
      <c r="C7" s="13"/>
      <c r="D7" s="13"/>
      <c r="E7" s="13"/>
      <c r="F7" s="44"/>
    </row>
    <row r="8" spans="1:6" x14ac:dyDescent="0.4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x14ac:dyDescent="0.4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x14ac:dyDescent="0.4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.2" x14ac:dyDescent="0.45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x14ac:dyDescent="0.4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x14ac:dyDescent="0.4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x14ac:dyDescent="0.4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x14ac:dyDescent="0.4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 x14ac:dyDescent="0.45">
      <c r="A16" s="4" t="s">
        <v>24</v>
      </c>
      <c r="B16" s="51"/>
      <c r="C16" s="51"/>
      <c r="D16" s="51"/>
      <c r="E16" s="51"/>
      <c r="F16" s="44"/>
    </row>
    <row r="17" spans="1:6" ht="42.3" x14ac:dyDescent="0.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.2" x14ac:dyDescent="0.45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.4" x14ac:dyDescent="0.45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.4" x14ac:dyDescent="0.45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x14ac:dyDescent="0.4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.3" x14ac:dyDescent="0.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2.3" x14ac:dyDescent="0.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6.4" x14ac:dyDescent="0.45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6.4" x14ac:dyDescent="0.4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6.4" x14ac:dyDescent="0.4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x14ac:dyDescent="0.4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 x14ac:dyDescent="0.4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.2" x14ac:dyDescent="0.45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x14ac:dyDescent="0.4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x14ac:dyDescent="0.4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x14ac:dyDescent="0.45">
      <c r="A32" s="4" t="s">
        <v>52</v>
      </c>
      <c r="B32" s="51"/>
      <c r="C32" s="51"/>
      <c r="D32" s="51"/>
      <c r="E32" s="51"/>
      <c r="F32" s="44"/>
    </row>
    <row r="33" spans="1:6" ht="42.3" x14ac:dyDescent="0.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0.5" x14ac:dyDescent="0.4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2.3" x14ac:dyDescent="0.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.4" x14ac:dyDescent="0.45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6.4" x14ac:dyDescent="0.4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.4" x14ac:dyDescent="0.4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.2" x14ac:dyDescent="0.45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x14ac:dyDescent="0.4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x14ac:dyDescent="0.4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.2" x14ac:dyDescent="0.45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.2" x14ac:dyDescent="0.45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.2" x14ac:dyDescent="0.45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.2" x14ac:dyDescent="0.45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.2" x14ac:dyDescent="0.45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.2" x14ac:dyDescent="0.45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x14ac:dyDescent="0.4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x14ac:dyDescent="0.4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x14ac:dyDescent="0.4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x14ac:dyDescent="0.4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x14ac:dyDescent="0.4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8.2" x14ac:dyDescent="0.45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8.2" x14ac:dyDescent="0.45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8.2" x14ac:dyDescent="0.45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8.2" x14ac:dyDescent="0.45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8.2" x14ac:dyDescent="0.45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 x14ac:dyDescent="0.45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x14ac:dyDescent="0.45">
      <c r="A59" s="4" t="s">
        <v>86</v>
      </c>
      <c r="B59" s="51"/>
      <c r="C59" s="51"/>
      <c r="D59" s="51"/>
      <c r="E59" s="51"/>
      <c r="F59" s="44"/>
    </row>
    <row r="60" spans="1:6" ht="36" customHeight="1" x14ac:dyDescent="0.45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6" t="s">
        <v>88</v>
      </c>
    </row>
    <row r="61" spans="1:6" ht="28.2" x14ac:dyDescent="0.45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7"/>
    </row>
    <row r="62" spans="1:6" ht="28.2" x14ac:dyDescent="0.45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7"/>
    </row>
    <row r="63" spans="1:6" x14ac:dyDescent="0.4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7"/>
    </row>
    <row r="64" spans="1:6" ht="36" customHeight="1" x14ac:dyDescent="0.4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7"/>
    </row>
    <row r="65" spans="1:6" x14ac:dyDescent="0.4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8"/>
    </row>
    <row r="66" spans="1:6" ht="28.2" x14ac:dyDescent="0.45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8.2" x14ac:dyDescent="0.45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 x14ac:dyDescent="0.45">
      <c r="A68" s="38"/>
      <c r="B68" s="61"/>
      <c r="C68" s="61"/>
      <c r="D68" s="61"/>
      <c r="E68" s="62"/>
    </row>
    <row r="69" spans="1:6" x14ac:dyDescent="0.4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x14ac:dyDescent="0.4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 x14ac:dyDescent="0.45">
      <c r="E74" s="2"/>
    </row>
    <row r="77" spans="1:6" s="36" customFormat="1" ht="14.1" x14ac:dyDescent="0.4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3" x14ac:dyDescent="0.45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7" width="20.25" style="1" customWidth="1"/>
    <col min="8" max="16384" width="9" style="1"/>
  </cols>
  <sheetData>
    <row r="1" spans="1:6" x14ac:dyDescent="0.45">
      <c r="A1" s="39" t="s">
        <v>0</v>
      </c>
    </row>
    <row r="2" spans="1:6" ht="28.2" x14ac:dyDescent="0.45">
      <c r="A2" s="40" t="s">
        <v>1</v>
      </c>
    </row>
    <row r="3" spans="1:6" x14ac:dyDescent="0.45">
      <c r="A3" s="29" t="s">
        <v>2</v>
      </c>
    </row>
    <row r="5" spans="1:6" ht="28.35" customHeight="1" x14ac:dyDescent="0.45">
      <c r="A5" s="41" t="s">
        <v>3</v>
      </c>
      <c r="B5" s="85" t="s">
        <v>4</v>
      </c>
      <c r="C5" s="85"/>
      <c r="D5" s="85"/>
      <c r="E5" s="85"/>
      <c r="F5" s="85"/>
    </row>
    <row r="6" spans="1:6" x14ac:dyDescent="0.45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 x14ac:dyDescent="0.45">
      <c r="A7" s="43" t="s">
        <v>10</v>
      </c>
      <c r="B7" s="13"/>
      <c r="C7" s="13"/>
      <c r="D7" s="13"/>
      <c r="E7" s="13"/>
      <c r="F7" s="44"/>
    </row>
    <row r="8" spans="1:6" x14ac:dyDescent="0.4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x14ac:dyDescent="0.4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x14ac:dyDescent="0.4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8.2" x14ac:dyDescent="0.45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x14ac:dyDescent="0.4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x14ac:dyDescent="0.4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x14ac:dyDescent="0.4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x14ac:dyDescent="0.4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x14ac:dyDescent="0.45">
      <c r="A16" s="4" t="s">
        <v>24</v>
      </c>
      <c r="B16" s="51"/>
      <c r="C16" s="51"/>
      <c r="D16" s="51"/>
      <c r="E16" s="51"/>
      <c r="F16" s="44"/>
    </row>
    <row r="17" spans="1:6" ht="48.75" customHeight="1" x14ac:dyDescent="0.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8.2" x14ac:dyDescent="0.45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6.4" x14ac:dyDescent="0.45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6.4" x14ac:dyDescent="0.45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x14ac:dyDescent="0.4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2.3" x14ac:dyDescent="0.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2.3" x14ac:dyDescent="0.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6.4" x14ac:dyDescent="0.45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6.4" x14ac:dyDescent="0.45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 x14ac:dyDescent="0.45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x14ac:dyDescent="0.4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x14ac:dyDescent="0.4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8.2" x14ac:dyDescent="0.45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x14ac:dyDescent="0.4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x14ac:dyDescent="0.4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x14ac:dyDescent="0.45">
      <c r="A32" s="4" t="s">
        <v>52</v>
      </c>
      <c r="B32" s="51"/>
      <c r="C32" s="51"/>
      <c r="D32" s="51"/>
      <c r="E32" s="51"/>
      <c r="F32" s="44"/>
    </row>
    <row r="33" spans="1:6" ht="42.3" x14ac:dyDescent="0.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0.5" x14ac:dyDescent="0.4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2.3" x14ac:dyDescent="0.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6.4" x14ac:dyDescent="0.45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6.4" x14ac:dyDescent="0.45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6.4" x14ac:dyDescent="0.45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8.2" x14ac:dyDescent="0.45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x14ac:dyDescent="0.4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x14ac:dyDescent="0.4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8.2" x14ac:dyDescent="0.45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8.2" x14ac:dyDescent="0.45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8.2" x14ac:dyDescent="0.45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8.2" x14ac:dyDescent="0.45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8.2" x14ac:dyDescent="0.45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8.2" x14ac:dyDescent="0.45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x14ac:dyDescent="0.4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x14ac:dyDescent="0.4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x14ac:dyDescent="0.4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x14ac:dyDescent="0.4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x14ac:dyDescent="0.4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8.2" x14ac:dyDescent="0.45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 x14ac:dyDescent="0.45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8.2" x14ac:dyDescent="0.45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8.2" x14ac:dyDescent="0.45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8.2" x14ac:dyDescent="0.45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8.2" x14ac:dyDescent="0.45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x14ac:dyDescent="0.45">
      <c r="A59" s="4" t="s">
        <v>86</v>
      </c>
      <c r="B59" s="51"/>
      <c r="C59" s="51"/>
      <c r="D59" s="51"/>
      <c r="E59" s="51"/>
      <c r="F59" s="44"/>
    </row>
    <row r="60" spans="1:7" ht="30.75" customHeight="1" x14ac:dyDescent="0.45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6" t="s">
        <v>88</v>
      </c>
    </row>
    <row r="61" spans="1:7" ht="28.2" x14ac:dyDescent="0.45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7"/>
    </row>
    <row r="62" spans="1:7" ht="28.2" x14ac:dyDescent="0.45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7"/>
    </row>
    <row r="63" spans="1:7" x14ac:dyDescent="0.4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7"/>
    </row>
    <row r="64" spans="1:7" x14ac:dyDescent="0.4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7"/>
    </row>
    <row r="65" spans="1:7" x14ac:dyDescent="0.4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8"/>
    </row>
    <row r="66" spans="1:7" ht="28.2" x14ac:dyDescent="0.45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8.2" x14ac:dyDescent="0.45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 x14ac:dyDescent="0.45">
      <c r="A68" s="38"/>
      <c r="B68" s="61"/>
      <c r="C68" s="61"/>
      <c r="D68" s="61"/>
      <c r="E68" s="62"/>
      <c r="G68" s="63"/>
    </row>
    <row r="69" spans="1:7" x14ac:dyDescent="0.4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x14ac:dyDescent="0.4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 x14ac:dyDescent="0.45">
      <c r="E74" s="2"/>
    </row>
    <row r="75" spans="1:7" s="36" customFormat="1" x14ac:dyDescent="0.45">
      <c r="A75" s="37"/>
      <c r="B75" s="2"/>
      <c r="C75" s="2"/>
      <c r="D75" s="2"/>
      <c r="E75" s="35"/>
      <c r="F75" s="38"/>
    </row>
    <row r="77" spans="1:7" x14ac:dyDescent="0.4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5"/>
  <sheetViews>
    <sheetView zoomScale="70" zoomScaleNormal="70" workbookViewId="0">
      <pane xSplit="1" ySplit="1" topLeftCell="F2" activePane="bottomRight" state="frozen"/>
      <selection pane="topRight"/>
      <selection pane="bottomLeft"/>
      <selection pane="bottomRight" activeCell="J2" sqref="J2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6384" width="9" style="1"/>
  </cols>
  <sheetData>
    <row r="1" spans="1:16" ht="14.25" customHeight="1" x14ac:dyDescent="0.45">
      <c r="A1" s="3"/>
      <c r="B1" s="89" t="s">
        <v>100</v>
      </c>
      <c r="C1" s="89"/>
      <c r="D1" s="89"/>
      <c r="E1" s="89" t="s">
        <v>101</v>
      </c>
      <c r="F1" s="89"/>
      <c r="G1" s="89"/>
      <c r="H1" s="90" t="s">
        <v>113</v>
      </c>
      <c r="I1" s="90"/>
      <c r="J1" s="90"/>
      <c r="K1" s="89" t="s">
        <v>114</v>
      </c>
      <c r="L1" s="89"/>
      <c r="M1" s="89"/>
      <c r="N1" s="89" t="s">
        <v>115</v>
      </c>
      <c r="O1" s="89"/>
      <c r="P1" s="89"/>
    </row>
    <row r="2" spans="1:16" ht="29.25" customHeight="1" x14ac:dyDescent="0.4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</row>
    <row r="3" spans="1:16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</row>
    <row r="4" spans="1:16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</row>
    <row r="5" spans="1:16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</row>
    <row r="6" spans="1:16" x14ac:dyDescent="0.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</row>
    <row r="7" spans="1:16" x14ac:dyDescent="0.4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</row>
    <row r="8" spans="1:16" x14ac:dyDescent="0.4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</row>
    <row r="9" spans="1:16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</row>
    <row r="10" spans="1:16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</row>
    <row r="11" spans="1:16" x14ac:dyDescent="0.4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</row>
    <row r="12" spans="1:16" ht="15" customHeight="1" x14ac:dyDescent="0.4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</row>
    <row r="13" spans="1:16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</row>
    <row r="14" spans="1:16" x14ac:dyDescent="0.4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</row>
    <row r="15" spans="1:16" x14ac:dyDescent="0.4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</row>
    <row r="16" spans="1:16" x14ac:dyDescent="0.4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>N15+10*LOG10(N4)</f>
        <v>53</v>
      </c>
      <c r="O16" s="12">
        <f>O15+10*LOG10(O4)</f>
        <v>53</v>
      </c>
      <c r="P16" s="12">
        <f>P15+10*LOG10(P4)</f>
        <v>53</v>
      </c>
    </row>
    <row r="17" spans="1:16" ht="28.2" x14ac:dyDescent="0.45">
      <c r="A17" s="7" t="s">
        <v>35</v>
      </c>
      <c r="B17" s="12">
        <f t="shared" ref="B17:G17" si="2">B15+10*LOG10(B41/1000000)</f>
        <v>45.375437381428746</v>
      </c>
      <c r="C17" s="12">
        <f t="shared" si="2"/>
        <v>45.375437381428746</v>
      </c>
      <c r="D17" s="12">
        <f t="shared" si="2"/>
        <v>45.375437381428746</v>
      </c>
      <c r="E17" s="12">
        <f t="shared" si="2"/>
        <v>45.375437381428746</v>
      </c>
      <c r="F17" s="12"/>
      <c r="G17" s="12">
        <f t="shared" si="2"/>
        <v>45.375437381428746</v>
      </c>
      <c r="H17" s="71">
        <f t="shared" ref="H17:M17" si="3">H15+10*LOG10(H41/1000000)</f>
        <v>45.375437381428746</v>
      </c>
      <c r="I17" s="71">
        <f t="shared" si="3"/>
        <v>45.375437381428746</v>
      </c>
      <c r="J17" s="71">
        <f t="shared" si="3"/>
        <v>45.375437381428746</v>
      </c>
      <c r="K17" s="12">
        <f t="shared" si="3"/>
        <v>45.375437381428746</v>
      </c>
      <c r="L17" s="12">
        <f t="shared" si="3"/>
        <v>45.375437381428746</v>
      </c>
      <c r="M17" s="12">
        <f t="shared" si="3"/>
        <v>45.375437381428746</v>
      </c>
      <c r="N17" s="12">
        <f>N15+10*LOG10(N41/1000000)</f>
        <v>45.375437381428746</v>
      </c>
      <c r="O17" s="12">
        <f>O15+10*LOG10(O41/1000000)</f>
        <v>45.375437381428746</v>
      </c>
      <c r="P17" s="12">
        <f>P15+10*LOG10(P41/1000000)</f>
        <v>45.375437381428746</v>
      </c>
    </row>
    <row r="18" spans="1:16" ht="42.3" x14ac:dyDescent="0.45">
      <c r="A18" s="14" t="s">
        <v>37</v>
      </c>
      <c r="B18" s="12">
        <f t="shared" ref="B18:G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/>
      <c r="G18" s="12">
        <f t="shared" si="4"/>
        <v>9.8212125471966232</v>
      </c>
      <c r="H18" s="71">
        <f t="shared" ref="H18:M18" si="5">H19+10*LOG10(H12/H13)-H20</f>
        <v>12.771212547196624</v>
      </c>
      <c r="I18" s="71">
        <f t="shared" si="5"/>
        <v>12.771212547196624</v>
      </c>
      <c r="J18" s="71">
        <f t="shared" si="5"/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12.771212547196624</v>
      </c>
      <c r="N18" s="12">
        <f>N19+10*LOG10(N12/N13)-N20</f>
        <v>10.121212547196624</v>
      </c>
      <c r="O18" s="12">
        <f>O19+10*LOG10(O12/O13)-O20</f>
        <v>10.121212547196624</v>
      </c>
      <c r="P18" s="12">
        <f>P19+10*LOG10(P12/P13)-P20</f>
        <v>10.121212547196624</v>
      </c>
    </row>
    <row r="19" spans="1:16" x14ac:dyDescent="0.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</row>
    <row r="20" spans="1:16" ht="42.3" x14ac:dyDescent="0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</row>
    <row r="21" spans="1:16" ht="61.5" customHeight="1" x14ac:dyDescent="0.45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6">10*LOG10(O13/O14)</f>
        <v>15.051499783199061</v>
      </c>
      <c r="P21" s="16">
        <f t="shared" si="6"/>
        <v>15.051499783199061</v>
      </c>
    </row>
    <row r="22" spans="1:16" x14ac:dyDescent="0.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x14ac:dyDescent="0.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ht="28.2" x14ac:dyDescent="0.4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</row>
    <row r="25" spans="1:16" x14ac:dyDescent="0.45">
      <c r="A25" s="7" t="s">
        <v>49</v>
      </c>
      <c r="B25" s="12">
        <f t="shared" ref="B25:G25" si="7">B17+B18+B21+B22-B24</f>
        <v>67.146649928625379</v>
      </c>
      <c r="C25" s="12">
        <f t="shared" si="7"/>
        <v>67.146649928625379</v>
      </c>
      <c r="D25" s="12">
        <f t="shared" si="7"/>
        <v>67.146649928625379</v>
      </c>
      <c r="E25" s="12">
        <f t="shared" si="7"/>
        <v>64.236649928625368</v>
      </c>
      <c r="F25" s="12"/>
      <c r="G25" s="12">
        <f t="shared" si="7"/>
        <v>64.236649928625368</v>
      </c>
      <c r="H25" s="71">
        <f t="shared" ref="H25:M25" si="8">H17+H18+H21+H22-H24</f>
        <v>67.146649928625379</v>
      </c>
      <c r="I25" s="71">
        <f t="shared" si="8"/>
        <v>67.146649928625379</v>
      </c>
      <c r="J25" s="71">
        <f t="shared" si="8"/>
        <v>67.146649928625379</v>
      </c>
      <c r="K25" s="12">
        <f t="shared" si="8"/>
        <v>67.146649928625379</v>
      </c>
      <c r="L25" s="12">
        <f t="shared" si="8"/>
        <v>67.146649928625379</v>
      </c>
      <c r="M25" s="12">
        <f t="shared" si="8"/>
        <v>67.146649928625379</v>
      </c>
      <c r="N25" s="12">
        <f>N17+N18+N21+N22-N24</f>
        <v>67.548149711824436</v>
      </c>
      <c r="O25" s="12">
        <f>O17+O18+O21+O22-O24</f>
        <v>67.548149711824436</v>
      </c>
      <c r="P25" s="12">
        <f>P17+P18+P21+P22-P24</f>
        <v>67.548149711824436</v>
      </c>
    </row>
    <row r="26" spans="1:16" x14ac:dyDescent="0.4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</row>
    <row r="27" spans="1:16" x14ac:dyDescent="0.4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</row>
    <row r="28" spans="1:16" x14ac:dyDescent="0.4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</row>
    <row r="29" spans="1:16" x14ac:dyDescent="0.4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</row>
    <row r="30" spans="1:16" ht="42.3" x14ac:dyDescent="0.45">
      <c r="A30" s="7" t="s">
        <v>56</v>
      </c>
      <c r="B30" s="12">
        <f t="shared" ref="B30:G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/>
      <c r="G30" s="12">
        <f t="shared" si="9"/>
        <v>-3</v>
      </c>
      <c r="H30" s="71">
        <f t="shared" ref="H30:M30" si="10">H31+10*LOG10(H28/H29)-H32</f>
        <v>0</v>
      </c>
      <c r="I30" s="71">
        <f t="shared" si="10"/>
        <v>-3</v>
      </c>
      <c r="J30" s="71">
        <f t="shared" si="10"/>
        <v>-3</v>
      </c>
      <c r="K30" s="12">
        <f t="shared" si="10"/>
        <v>0</v>
      </c>
      <c r="L30" s="12">
        <f t="shared" si="10"/>
        <v>-3</v>
      </c>
      <c r="M30" s="12">
        <f t="shared" si="10"/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</row>
    <row r="31" spans="1:16" x14ac:dyDescent="0.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</row>
    <row r="32" spans="1:16" ht="42.3" x14ac:dyDescent="0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1:16" ht="27.6" x14ac:dyDescent="0.4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ht="28.2" x14ac:dyDescent="0.4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</row>
    <row r="35" spans="1:16" x14ac:dyDescent="0.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</row>
    <row r="36" spans="1:16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</row>
    <row r="37" spans="1:16" x14ac:dyDescent="0.4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</row>
    <row r="38" spans="1:16" x14ac:dyDescent="0.4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</row>
    <row r="39" spans="1:16" ht="28.2" x14ac:dyDescent="0.45">
      <c r="A39" s="7" t="s">
        <v>106</v>
      </c>
      <c r="B39" s="12">
        <f t="shared" ref="B39:G39" si="11">10*LOG10(10^((B35+B36)/10)+10^(B37/10))</f>
        <v>-167.00000000000003</v>
      </c>
      <c r="C39" s="12">
        <f t="shared" si="11"/>
        <v>-167.00000000000003</v>
      </c>
      <c r="D39" s="12">
        <f t="shared" si="11"/>
        <v>-167.00000000000003</v>
      </c>
      <c r="E39" s="12">
        <f t="shared" si="11"/>
        <v>-167.00000000000003</v>
      </c>
      <c r="F39" s="12"/>
      <c r="G39" s="12">
        <f t="shared" si="11"/>
        <v>-167.00000000000003</v>
      </c>
      <c r="H39" s="71">
        <f t="shared" ref="H39:M39" si="12">10*LOG10(10^((H35+H36)/10)+10^(H37/10))</f>
        <v>-167.00000000000003</v>
      </c>
      <c r="I39" s="71">
        <f t="shared" si="12"/>
        <v>-167.00000000000003</v>
      </c>
      <c r="J39" s="71">
        <f t="shared" si="12"/>
        <v>-167.00000000000003</v>
      </c>
      <c r="K39" s="12">
        <f t="shared" si="12"/>
        <v>-167.00000000000003</v>
      </c>
      <c r="L39" s="12">
        <f t="shared" si="12"/>
        <v>-167.00000000000003</v>
      </c>
      <c r="M39" s="12">
        <f t="shared" si="12"/>
        <v>-167.00000000000003</v>
      </c>
      <c r="N39" s="12">
        <f>10*LOG10(10^((N35+N36)/10)+10^(N37/10))</f>
        <v>-164.98918835931039</v>
      </c>
      <c r="O39" s="12">
        <f>10*LOG10(10^((O35+O36)/10)+10^(O37/10))</f>
        <v>-164.98918835931039</v>
      </c>
      <c r="P39" s="12">
        <f>10*LOG10(10^((P35+P36)/10)+10^(P37/10))</f>
        <v>-164.98918835931039</v>
      </c>
    </row>
    <row r="40" spans="1:16" ht="28.2" x14ac:dyDescent="0.4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</row>
    <row r="41" spans="1:16" x14ac:dyDescent="0.45">
      <c r="A41" s="20" t="s">
        <v>68</v>
      </c>
      <c r="B41" s="12">
        <f t="shared" ref="B41:G41" si="13">48*360*1000</f>
        <v>17280000</v>
      </c>
      <c r="C41" s="12">
        <f t="shared" si="13"/>
        <v>17280000</v>
      </c>
      <c r="D41" s="12">
        <f t="shared" si="13"/>
        <v>17280000</v>
      </c>
      <c r="E41" s="12">
        <f t="shared" si="13"/>
        <v>17280000</v>
      </c>
      <c r="F41" s="12"/>
      <c r="G41" s="12">
        <f t="shared" si="13"/>
        <v>17280000</v>
      </c>
      <c r="H41" s="71">
        <f t="shared" ref="H41:M41" si="14">48*360*1000</f>
        <v>17280000</v>
      </c>
      <c r="I41" s="71">
        <f t="shared" si="14"/>
        <v>17280000</v>
      </c>
      <c r="J41" s="71">
        <f t="shared" si="14"/>
        <v>17280000</v>
      </c>
      <c r="K41" s="12">
        <f t="shared" si="14"/>
        <v>17280000</v>
      </c>
      <c r="L41" s="12">
        <f t="shared" si="14"/>
        <v>17280000</v>
      </c>
      <c r="M41" s="12">
        <f t="shared" si="14"/>
        <v>17280000</v>
      </c>
      <c r="N41" s="12">
        <f>48*360*1000</f>
        <v>17280000</v>
      </c>
      <c r="O41" s="12">
        <f>48*360*1000</f>
        <v>17280000</v>
      </c>
      <c r="P41" s="12">
        <f>48*360*1000</f>
        <v>17280000</v>
      </c>
    </row>
    <row r="42" spans="1:16" x14ac:dyDescent="0.4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</row>
    <row r="43" spans="1:16" x14ac:dyDescent="0.45">
      <c r="A43" s="7" t="s">
        <v>71</v>
      </c>
      <c r="B43" s="12">
        <f t="shared" ref="B43:G43" si="15">B39+10*LOG10(B41)</f>
        <v>-94.624562618571289</v>
      </c>
      <c r="C43" s="12">
        <f t="shared" si="15"/>
        <v>-94.624562618571289</v>
      </c>
      <c r="D43" s="12">
        <f t="shared" si="15"/>
        <v>-94.624562618571289</v>
      </c>
      <c r="E43" s="12">
        <f t="shared" si="15"/>
        <v>-94.624562618571289</v>
      </c>
      <c r="F43" s="12"/>
      <c r="G43" s="12">
        <f t="shared" si="15"/>
        <v>-94.624562618571289</v>
      </c>
      <c r="H43" s="71">
        <f t="shared" ref="H43:M43" si="16">H39+10*LOG10(H41)</f>
        <v>-94.624562618571289</v>
      </c>
      <c r="I43" s="71">
        <f t="shared" si="16"/>
        <v>-94.624562618571289</v>
      </c>
      <c r="J43" s="71">
        <f t="shared" si="16"/>
        <v>-94.624562618571289</v>
      </c>
      <c r="K43" s="12">
        <f t="shared" si="16"/>
        <v>-94.624562618571289</v>
      </c>
      <c r="L43" s="12">
        <f t="shared" si="16"/>
        <v>-94.624562618571289</v>
      </c>
      <c r="M43" s="12">
        <f t="shared" si="16"/>
        <v>-94.624562618571289</v>
      </c>
      <c r="N43" s="12">
        <f>N39+10*LOG10(N41)</f>
        <v>-92.613750977881651</v>
      </c>
      <c r="O43" s="12">
        <f>O39+10*LOG10(O41)</f>
        <v>-92.613750977881651</v>
      </c>
      <c r="P43" s="12">
        <f>P39+10*LOG10(P41)</f>
        <v>-92.613750977881651</v>
      </c>
    </row>
    <row r="44" spans="1:16" x14ac:dyDescent="0.4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</row>
    <row r="45" spans="1:16" x14ac:dyDescent="0.4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</row>
    <row r="46" spans="1:16" x14ac:dyDescent="0.4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</row>
    <row r="47" spans="1:16" x14ac:dyDescent="0.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</row>
    <row r="48" spans="1:16" ht="28.2" x14ac:dyDescent="0.4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33.75" customHeight="1" x14ac:dyDescent="0.4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</row>
    <row r="50" spans="1:16" ht="28.2" x14ac:dyDescent="0.45">
      <c r="A50" s="7" t="s">
        <v>80</v>
      </c>
      <c r="B50" s="12">
        <f t="shared" ref="B50:G50" si="17">B43+B45+B47-B48</f>
        <v>-103.92456261857129</v>
      </c>
      <c r="C50" s="12">
        <f t="shared" si="17"/>
        <v>-100.92456261857129</v>
      </c>
      <c r="D50" s="12">
        <f t="shared" si="17"/>
        <v>-97.424562618571287</v>
      </c>
      <c r="E50" s="12">
        <f t="shared" si="17"/>
        <v>-104.17456261857129</v>
      </c>
      <c r="F50" s="12"/>
      <c r="G50" s="12">
        <f t="shared" si="17"/>
        <v>-98.01456261857129</v>
      </c>
      <c r="H50" s="71">
        <f t="shared" ref="H50:M50" si="18">H43+H45+H47-H48</f>
        <v>-105.31456261857129</v>
      </c>
      <c r="I50" s="71">
        <f t="shared" si="18"/>
        <v>-102.00456261857128</v>
      </c>
      <c r="J50" s="71">
        <f t="shared" si="18"/>
        <v>-98.044562618571291</v>
      </c>
      <c r="K50" s="12">
        <f t="shared" si="18"/>
        <v>-102.51456261857129</v>
      </c>
      <c r="L50" s="12">
        <f t="shared" si="18"/>
        <v>-100.0245626185713</v>
      </c>
      <c r="M50" s="12">
        <f t="shared" si="18"/>
        <v>-96.324562618571292</v>
      </c>
      <c r="N50" s="12">
        <f>N43+N45+N47-N48</f>
        <v>-99.033750977881652</v>
      </c>
      <c r="O50" s="12">
        <f>O43+O45+O47-O48</f>
        <v>-96.433750977881658</v>
      </c>
      <c r="P50" s="12">
        <f>P43+P45+P47-P48</f>
        <v>-93.233750977881655</v>
      </c>
    </row>
    <row r="51" spans="1:16" ht="28.2" x14ac:dyDescent="0.4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</row>
    <row r="52" spans="1:16" ht="28.2" x14ac:dyDescent="0.45">
      <c r="A52" s="21" t="s">
        <v>83</v>
      </c>
      <c r="B52" s="22">
        <f>B25+B30+B33-B34-B50</f>
        <v>170.07121254719667</v>
      </c>
      <c r="C52" s="22">
        <f t="shared" ref="C52:G52" si="19">C25+C30+C33-C34-C50</f>
        <v>164.07121254719667</v>
      </c>
      <c r="D52" s="22">
        <f t="shared" si="19"/>
        <v>160.57121254719667</v>
      </c>
      <c r="E52" s="22">
        <f t="shared" si="19"/>
        <v>167.41121254719667</v>
      </c>
      <c r="F52" s="22"/>
      <c r="G52" s="22">
        <f t="shared" si="19"/>
        <v>158.25121254719664</v>
      </c>
      <c r="H52" s="76">
        <f>H25+H30+H33-H34-H50</f>
        <v>171.46121254719668</v>
      </c>
      <c r="I52" s="76">
        <f t="shared" ref="I52:J52" si="20">I25+I30+I33-I34-I50</f>
        <v>165.15121254719668</v>
      </c>
      <c r="J52" s="76">
        <f t="shared" si="20"/>
        <v>161.19121254719667</v>
      </c>
      <c r="K52" s="22">
        <f>K25+K30+K33-K34-K50</f>
        <v>168.66121254719667</v>
      </c>
      <c r="L52" s="22">
        <f t="shared" ref="L52:M52" si="21">L25+L30+L33-L34-L50</f>
        <v>163.17121254719666</v>
      </c>
      <c r="M52" s="22">
        <f t="shared" si="21"/>
        <v>159.47121254719667</v>
      </c>
      <c r="N52" s="22">
        <f>N25+N30+N33-N34-N50</f>
        <v>165.58190068970609</v>
      </c>
      <c r="O52" s="22">
        <f t="shared" ref="O52:P52" si="22">O25+O30+O33-O34-O50</f>
        <v>159.98190068970609</v>
      </c>
      <c r="P52" s="22">
        <f t="shared" si="22"/>
        <v>156.78190068970611</v>
      </c>
    </row>
    <row r="53" spans="1:16" ht="28.2" x14ac:dyDescent="0.4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</row>
    <row r="54" spans="1:16" x14ac:dyDescent="0.4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</row>
    <row r="55" spans="1:16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</row>
    <row r="56" spans="1:16" ht="28.2" x14ac:dyDescent="0.4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</row>
    <row r="57" spans="1:16" ht="28.2" x14ac:dyDescent="0.4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</row>
    <row r="58" spans="1:16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</row>
    <row r="59" spans="1:16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</row>
    <row r="60" spans="1:16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</row>
    <row r="61" spans="1:16" ht="28.2" x14ac:dyDescent="0.45">
      <c r="A61" s="21" t="s">
        <v>108</v>
      </c>
      <c r="B61" s="22">
        <f>B52-B56+B58-B59+B60</f>
        <v>136.26121254719666</v>
      </c>
      <c r="C61" s="22">
        <f t="shared" ref="C61:G61" si="23">C52-C56+C58-C59+C60</f>
        <v>130.26121254719666</v>
      </c>
      <c r="D61" s="22">
        <f t="shared" si="23"/>
        <v>126.76121254719666</v>
      </c>
      <c r="E61" s="22">
        <f t="shared" si="23"/>
        <v>133.60121254719667</v>
      </c>
      <c r="F61" s="22"/>
      <c r="G61" s="22">
        <f t="shared" si="23"/>
        <v>124.44121254719664</v>
      </c>
      <c r="H61" s="76">
        <f>H52-H56+H58-H59+H60</f>
        <v>137.65121254719668</v>
      </c>
      <c r="I61" s="76">
        <f t="shared" ref="I61:J61" si="24">I52-I56+I58-I59+I60</f>
        <v>131.34121254719668</v>
      </c>
      <c r="J61" s="76">
        <f t="shared" si="24"/>
        <v>127.38121254719667</v>
      </c>
      <c r="K61" s="22">
        <f>K52-K56+K58-K59+K60</f>
        <v>134.85121254719667</v>
      </c>
      <c r="L61" s="22">
        <f t="shared" ref="L61:M61" si="25">L52-L56+L58-L59+L60</f>
        <v>129.36121254719666</v>
      </c>
      <c r="M61" s="22">
        <f t="shared" si="25"/>
        <v>125.66121254719667</v>
      </c>
      <c r="N61" s="22">
        <f>N52-N56+N58-N59+N60</f>
        <v>131.77190068970609</v>
      </c>
      <c r="O61" s="22">
        <f t="shared" ref="O61:P61" si="26">O52-O56+O58-O59+O60</f>
        <v>126.17190068970609</v>
      </c>
      <c r="P61" s="22">
        <f t="shared" si="26"/>
        <v>122.9719006897061</v>
      </c>
    </row>
    <row r="62" spans="1:16" ht="28.2" x14ac:dyDescent="0.4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</row>
    <row r="63" spans="1:16" x14ac:dyDescent="0.4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</row>
    <row r="64" spans="1:16" x14ac:dyDescent="0.45">
      <c r="A64" s="21" t="s">
        <v>97</v>
      </c>
      <c r="B64" s="22">
        <f t="shared" ref="B64:G64" si="27">B17+B22-B50+B21+B33</f>
        <v>161.30000000000004</v>
      </c>
      <c r="C64" s="22">
        <f t="shared" si="27"/>
        <v>158.30000000000004</v>
      </c>
      <c r="D64" s="22">
        <f t="shared" si="27"/>
        <v>154.80000000000004</v>
      </c>
      <c r="E64" s="22">
        <f t="shared" si="27"/>
        <v>161.59000000000003</v>
      </c>
      <c r="F64" s="22"/>
      <c r="G64" s="22">
        <f t="shared" si="27"/>
        <v>155.43000000000004</v>
      </c>
      <c r="H64" s="76">
        <f t="shared" ref="H64:M64" si="28">H17+H22-H50+H21+H33</f>
        <v>162.69000000000003</v>
      </c>
      <c r="I64" s="76">
        <f t="shared" si="28"/>
        <v>159.38000000000002</v>
      </c>
      <c r="J64" s="76">
        <f t="shared" si="28"/>
        <v>155.42000000000004</v>
      </c>
      <c r="K64" s="22">
        <f t="shared" si="28"/>
        <v>159.89000000000004</v>
      </c>
      <c r="L64" s="22">
        <f t="shared" si="28"/>
        <v>157.40000000000003</v>
      </c>
      <c r="M64" s="22">
        <f t="shared" si="28"/>
        <v>153.70000000000005</v>
      </c>
      <c r="N64" s="22">
        <f>N17+N22-N50+N21+N33</f>
        <v>159.46068814250947</v>
      </c>
      <c r="O64" s="22">
        <f>O17+O22-O50+O21+O33</f>
        <v>156.86068814250947</v>
      </c>
      <c r="P64" s="22">
        <f>P17+P22-P50+P21+P33</f>
        <v>153.66068814250946</v>
      </c>
    </row>
    <row r="65" spans="1:16" x14ac:dyDescent="0.4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</row>
  </sheetData>
  <mergeCells count="5"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5"/>
  <sheetViews>
    <sheetView zoomScale="40" zoomScaleNormal="40" workbookViewId="0">
      <pane xSplit="1" ySplit="1" topLeftCell="B14" activePane="bottomRight" state="frozen"/>
      <selection pane="topRight"/>
      <selection pane="bottomLeft"/>
      <selection pane="bottomRight" activeCell="N66" sqref="N66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6384" width="9" style="1"/>
  </cols>
  <sheetData>
    <row r="1" spans="1:16" ht="14.25" customHeight="1" x14ac:dyDescent="0.45">
      <c r="A1" s="3"/>
      <c r="B1" s="89" t="s">
        <v>100</v>
      </c>
      <c r="C1" s="89"/>
      <c r="D1" s="89"/>
      <c r="E1" s="89" t="s">
        <v>101</v>
      </c>
      <c r="F1" s="89"/>
      <c r="G1" s="89"/>
      <c r="H1" s="90" t="s">
        <v>113</v>
      </c>
      <c r="I1" s="90"/>
      <c r="J1" s="90"/>
      <c r="K1" s="89" t="s">
        <v>114</v>
      </c>
      <c r="L1" s="89"/>
      <c r="M1" s="89"/>
      <c r="N1" s="89" t="s">
        <v>117</v>
      </c>
      <c r="O1" s="89"/>
      <c r="P1" s="89"/>
    </row>
    <row r="2" spans="1:16" ht="29.25" customHeight="1" x14ac:dyDescent="0.4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</row>
    <row r="3" spans="1:16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</row>
    <row r="4" spans="1:16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</row>
    <row r="5" spans="1:16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</row>
    <row r="6" spans="1:16" x14ac:dyDescent="0.4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</row>
    <row r="7" spans="1:16" x14ac:dyDescent="0.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</row>
    <row r="8" spans="1:16" x14ac:dyDescent="0.4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</row>
    <row r="9" spans="1:16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</row>
    <row r="10" spans="1:16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</row>
    <row r="11" spans="1:16" x14ac:dyDescent="0.4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</row>
    <row r="12" spans="1:16" ht="15" customHeight="1" x14ac:dyDescent="0.4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</row>
    <row r="13" spans="1:16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</row>
    <row r="14" spans="1:16" x14ac:dyDescent="0.4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</row>
    <row r="15" spans="1:16" x14ac:dyDescent="0.4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</row>
    <row r="16" spans="1:16" x14ac:dyDescent="0.4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>N15+10*LOG10(N4)</f>
        <v>53</v>
      </c>
      <c r="O16" s="12">
        <f>O15+10*LOG10(O4)</f>
        <v>53</v>
      </c>
      <c r="P16" s="12">
        <f>P15+10*LOG10(P4)</f>
        <v>53</v>
      </c>
    </row>
    <row r="17" spans="1:16" ht="28.2" x14ac:dyDescent="0.45">
      <c r="A17" s="7" t="s">
        <v>35</v>
      </c>
      <c r="B17" s="12">
        <f t="shared" ref="B17:G17" si="2">B15+10*LOG10(B42/1000000)</f>
        <v>48.105450102066122</v>
      </c>
      <c r="C17" s="12">
        <f t="shared" si="2"/>
        <v>41.115750058705935</v>
      </c>
      <c r="D17" s="12">
        <f t="shared" si="2"/>
        <v>41.115750058705935</v>
      </c>
      <c r="E17" s="12">
        <f t="shared" si="2"/>
        <v>51.907562519182179</v>
      </c>
      <c r="F17" s="12"/>
      <c r="G17" s="12">
        <f t="shared" si="2"/>
        <v>44.997551772534749</v>
      </c>
      <c r="H17" s="71">
        <f t="shared" ref="H17:M17" si="3">H15+10*LOG10(H42/1000000)</f>
        <v>51.57332496431269</v>
      </c>
      <c r="I17" s="71">
        <f t="shared" si="3"/>
        <v>45.638726768652234</v>
      </c>
      <c r="J17" s="71">
        <f t="shared" si="3"/>
        <v>45.638726768652234</v>
      </c>
      <c r="K17" s="12">
        <f t="shared" si="3"/>
        <v>52.924651478080435</v>
      </c>
      <c r="L17" s="12">
        <f t="shared" si="3"/>
        <v>45.638726768652234</v>
      </c>
      <c r="M17" s="12">
        <f t="shared" si="3"/>
        <v>45.638726768652234</v>
      </c>
      <c r="N17" s="12">
        <f>N15+10*LOG10(N42/1000000)</f>
        <v>48.816083660320572</v>
      </c>
      <c r="O17" s="12">
        <f>O15+10*LOG10(O42/1000000)</f>
        <v>42.365137424788934</v>
      </c>
      <c r="P17" s="12">
        <f>P15+10*LOG10(P42/1000000)</f>
        <v>42.365137424788934</v>
      </c>
    </row>
    <row r="18" spans="1:16" ht="42.3" x14ac:dyDescent="0.45">
      <c r="A18" s="14" t="s">
        <v>37</v>
      </c>
      <c r="B18" s="12">
        <f t="shared" ref="B18:G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/>
      <c r="G18" s="12">
        <f t="shared" si="4"/>
        <v>9.8212125471966232</v>
      </c>
      <c r="H18" s="71">
        <f t="shared" ref="H18:M18" si="5">H19+10*LOG10(H12/H13)-H20</f>
        <v>12.771212547196624</v>
      </c>
      <c r="I18" s="71">
        <f t="shared" si="5"/>
        <v>12.771212547196624</v>
      </c>
      <c r="J18" s="71">
        <f t="shared" si="5"/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12.771212547196624</v>
      </c>
      <c r="N18" s="12">
        <f>N19+10*LOG10(N12/N13)-N20</f>
        <v>10.121212547196624</v>
      </c>
      <c r="O18" s="12">
        <f>O19+10*LOG10(O12/O13)-O20</f>
        <v>10.121212547196624</v>
      </c>
      <c r="P18" s="12">
        <f>P19+10*LOG10(P12/P13)-P20</f>
        <v>10.121212547196624</v>
      </c>
    </row>
    <row r="19" spans="1:16" x14ac:dyDescent="0.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</row>
    <row r="20" spans="1:16" ht="42.3" x14ac:dyDescent="0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</row>
    <row r="21" spans="1:16" ht="61.5" customHeight="1" x14ac:dyDescent="0.45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6">10*LOG10(O13/O14)</f>
        <v>15.051499783199061</v>
      </c>
      <c r="P21" s="16">
        <f t="shared" si="6"/>
        <v>15.051499783199061</v>
      </c>
    </row>
    <row r="22" spans="1:16" x14ac:dyDescent="0.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x14ac:dyDescent="0.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ht="28.2" x14ac:dyDescent="0.4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</row>
    <row r="25" spans="1:16" x14ac:dyDescent="0.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</row>
    <row r="26" spans="1:16" x14ac:dyDescent="0.45">
      <c r="A26" s="7" t="s">
        <v>51</v>
      </c>
      <c r="B26" s="12">
        <f t="shared" ref="B26:G26" si="7">B17+B18+B21-B23-B24</f>
        <v>69.876662649262755</v>
      </c>
      <c r="C26" s="12">
        <f t="shared" si="7"/>
        <v>62.886962605902568</v>
      </c>
      <c r="D26" s="12">
        <f t="shared" si="7"/>
        <v>62.886962605902568</v>
      </c>
      <c r="E26" s="12">
        <f t="shared" si="7"/>
        <v>70.768775066378794</v>
      </c>
      <c r="F26" s="12"/>
      <c r="G26" s="12">
        <f t="shared" si="7"/>
        <v>63.858764319731364</v>
      </c>
      <c r="H26" s="71">
        <f t="shared" ref="H26:M26" si="8">H17+H18+H21-H23-H24</f>
        <v>73.344537511509316</v>
      </c>
      <c r="I26" s="71">
        <f t="shared" si="8"/>
        <v>67.40993931584886</v>
      </c>
      <c r="J26" s="71">
        <f t="shared" si="8"/>
        <v>67.40993931584886</v>
      </c>
      <c r="K26" s="12">
        <f t="shared" si="8"/>
        <v>74.695864025277061</v>
      </c>
      <c r="L26" s="12">
        <f t="shared" si="8"/>
        <v>67.40993931584886</v>
      </c>
      <c r="M26" s="12">
        <f t="shared" si="8"/>
        <v>67.40993931584886</v>
      </c>
      <c r="N26" s="12">
        <f>N17+N18+N21-N23-N24</f>
        <v>70.988795990716255</v>
      </c>
      <c r="O26" s="12">
        <f>O17+O18+O21-O23-O24</f>
        <v>64.537849755184624</v>
      </c>
      <c r="P26" s="12">
        <f>P17+P18+P21-P23-P24</f>
        <v>64.537849755184624</v>
      </c>
    </row>
    <row r="27" spans="1:16" x14ac:dyDescent="0.4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</row>
    <row r="28" spans="1:16" x14ac:dyDescent="0.4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</row>
    <row r="29" spans="1:16" x14ac:dyDescent="0.4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</row>
    <row r="30" spans="1:16" ht="42.3" x14ac:dyDescent="0.45">
      <c r="A30" s="7" t="s">
        <v>56</v>
      </c>
      <c r="B30" s="12">
        <f t="shared" ref="B30:G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/>
      <c r="G30" s="12">
        <f t="shared" si="9"/>
        <v>-3</v>
      </c>
      <c r="H30" s="71">
        <f t="shared" ref="H30:M30" si="10">H31+10*LOG10(H28/H29)-H32</f>
        <v>0</v>
      </c>
      <c r="I30" s="71">
        <f t="shared" si="10"/>
        <v>-3</v>
      </c>
      <c r="J30" s="71">
        <f t="shared" si="10"/>
        <v>-3</v>
      </c>
      <c r="K30" s="12">
        <f t="shared" si="10"/>
        <v>0</v>
      </c>
      <c r="L30" s="12">
        <f t="shared" si="10"/>
        <v>-3</v>
      </c>
      <c r="M30" s="12">
        <f t="shared" si="10"/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</row>
    <row r="31" spans="1:16" x14ac:dyDescent="0.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</row>
    <row r="32" spans="1:16" ht="42.3" x14ac:dyDescent="0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1:16" ht="27.6" x14ac:dyDescent="0.4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ht="28.2" x14ac:dyDescent="0.4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</row>
    <row r="35" spans="1:16" x14ac:dyDescent="0.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</row>
    <row r="36" spans="1:16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</row>
    <row r="37" spans="1:16" x14ac:dyDescent="0.4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</row>
    <row r="38" spans="1:16" x14ac:dyDescent="0.4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</row>
    <row r="39" spans="1:16" ht="28.2" x14ac:dyDescent="0.4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</row>
    <row r="40" spans="1:16" ht="28.2" x14ac:dyDescent="0.45">
      <c r="A40" s="7" t="s">
        <v>107</v>
      </c>
      <c r="B40" s="12">
        <f t="shared" ref="B40:G40" si="11">10*LOG10(10^((B35+B36)/10)+10^(B38/10))</f>
        <v>-167.00000000000003</v>
      </c>
      <c r="C40" s="12">
        <f t="shared" si="11"/>
        <v>-167.00000000000003</v>
      </c>
      <c r="D40" s="12">
        <f t="shared" si="11"/>
        <v>-167.00000000000003</v>
      </c>
      <c r="E40" s="12">
        <f t="shared" si="11"/>
        <v>-167.00000000000003</v>
      </c>
      <c r="F40" s="12"/>
      <c r="G40" s="12">
        <f t="shared" si="11"/>
        <v>-167.00000000000003</v>
      </c>
      <c r="H40" s="71">
        <f t="shared" ref="H40:M40" si="12">10*LOG10(10^((H35+H36)/10)+10^(H38/10))</f>
        <v>-167.00000000000003</v>
      </c>
      <c r="I40" s="71">
        <f t="shared" si="12"/>
        <v>-167.00000000000003</v>
      </c>
      <c r="J40" s="71">
        <f t="shared" si="12"/>
        <v>-167.00000000000003</v>
      </c>
      <c r="K40" s="12">
        <f t="shared" si="12"/>
        <v>-167.00000000000003</v>
      </c>
      <c r="L40" s="12">
        <f t="shared" si="12"/>
        <v>-167.00000000000003</v>
      </c>
      <c r="M40" s="12">
        <f t="shared" si="12"/>
        <v>-167.00000000000003</v>
      </c>
      <c r="N40" s="12">
        <f>10*LOG10(10^((N35+N36)/10)+10^(N38/10))</f>
        <v>-164.98918835931039</v>
      </c>
      <c r="O40" s="12">
        <f>10*LOG10(10^((O35+O36)/10)+10^(O38/10))</f>
        <v>-164.98918835931039</v>
      </c>
      <c r="P40" s="12">
        <f>10*LOG10(10^((P35+P36)/10)+10^(P38/10))</f>
        <v>-164.98918835931039</v>
      </c>
    </row>
    <row r="41" spans="1:16" x14ac:dyDescent="0.4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</row>
    <row r="42" spans="1:16" x14ac:dyDescent="0.45">
      <c r="A42" s="28" t="s">
        <v>70</v>
      </c>
      <c r="B42" s="18">
        <f>90*360*1000</f>
        <v>32400000</v>
      </c>
      <c r="C42" s="18">
        <f t="shared" ref="C42:D42" si="13">18*360*1000</f>
        <v>6480000</v>
      </c>
      <c r="D42" s="18">
        <f t="shared" si="13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</row>
    <row r="43" spans="1:16" x14ac:dyDescent="0.4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</row>
    <row r="44" spans="1:16" x14ac:dyDescent="0.45">
      <c r="A44" s="7" t="s">
        <v>72</v>
      </c>
      <c r="B44" s="12">
        <f t="shared" ref="B44:G44" si="14">B40+10*LOG10(B42)</f>
        <v>-91.894549897933913</v>
      </c>
      <c r="C44" s="12">
        <f t="shared" si="14"/>
        <v>-98.884249941294101</v>
      </c>
      <c r="D44" s="12">
        <f t="shared" si="14"/>
        <v>-98.884249941294101</v>
      </c>
      <c r="E44" s="12">
        <f t="shared" si="14"/>
        <v>-88.09243748081785</v>
      </c>
      <c r="F44" s="12"/>
      <c r="G44" s="12">
        <f t="shared" si="14"/>
        <v>-95.00244822746528</v>
      </c>
      <c r="H44" s="71">
        <f t="shared" ref="H44:M44" si="15">H40+10*LOG10(H42)</f>
        <v>-88.426675035687353</v>
      </c>
      <c r="I44" s="71">
        <f t="shared" si="15"/>
        <v>-94.361273231347795</v>
      </c>
      <c r="J44" s="71">
        <f t="shared" si="15"/>
        <v>-94.361273231347795</v>
      </c>
      <c r="K44" s="12">
        <f t="shared" si="15"/>
        <v>-87.075348521919594</v>
      </c>
      <c r="L44" s="12">
        <f t="shared" si="15"/>
        <v>-94.361273231347795</v>
      </c>
      <c r="M44" s="12">
        <f t="shared" si="15"/>
        <v>-94.361273231347795</v>
      </c>
      <c r="N44" s="12">
        <f>N40+10*LOG10(N42)</f>
        <v>-89.173104698989818</v>
      </c>
      <c r="O44" s="12">
        <f>O40+10*LOG10(O42)</f>
        <v>-95.624050934521463</v>
      </c>
      <c r="P44" s="12">
        <f>P40+10*LOG10(P42)</f>
        <v>-95.624050934521463</v>
      </c>
    </row>
    <row r="45" spans="1:16" x14ac:dyDescent="0.4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</row>
    <row r="46" spans="1:16" x14ac:dyDescent="0.4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</row>
    <row r="47" spans="1:16" x14ac:dyDescent="0.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</row>
    <row r="48" spans="1:16" ht="28.2" x14ac:dyDescent="0.4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</row>
    <row r="49" spans="1:16" ht="33.75" customHeight="1" x14ac:dyDescent="0.4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28.2" x14ac:dyDescent="0.4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</row>
    <row r="51" spans="1:16" ht="28.2" x14ac:dyDescent="0.45">
      <c r="A51" s="7" t="s">
        <v>82</v>
      </c>
      <c r="B51" s="12">
        <f t="shared" ref="B51:G51" si="16">B44+B46+B47-B49</f>
        <v>-94.694549897933911</v>
      </c>
      <c r="C51" s="12">
        <f t="shared" si="16"/>
        <v>-97.784249941294107</v>
      </c>
      <c r="D51" s="12">
        <f t="shared" si="16"/>
        <v>-92.984249941294095</v>
      </c>
      <c r="E51" s="12">
        <f t="shared" si="16"/>
        <v>-97.872437480817851</v>
      </c>
      <c r="F51" s="12"/>
      <c r="G51" s="12">
        <f t="shared" si="16"/>
        <v>-100.90244822746529</v>
      </c>
      <c r="H51" s="71">
        <f t="shared" ref="H51:M51" si="17">H44+H46+H47-H49</f>
        <v>-97.576675035687359</v>
      </c>
      <c r="I51" s="71">
        <f t="shared" si="17"/>
        <v>-101.2312732313478</v>
      </c>
      <c r="J51" s="71">
        <f t="shared" si="17"/>
        <v>-98.6212732313478</v>
      </c>
      <c r="K51" s="12">
        <f t="shared" si="17"/>
        <v>-93.875348521919591</v>
      </c>
      <c r="L51" s="12">
        <f t="shared" si="17"/>
        <v>-98.24127323134779</v>
      </c>
      <c r="M51" s="12">
        <f t="shared" si="17"/>
        <v>-94.391273231347796</v>
      </c>
      <c r="N51" s="12">
        <f>N44+N46+N47-N49</f>
        <v>-91.963104698989824</v>
      </c>
      <c r="O51" s="12">
        <f>O44+O46+O47-O49</f>
        <v>-94.394050934521459</v>
      </c>
      <c r="P51" s="12">
        <f>P44+P46+P47-P49</f>
        <v>-90.084050934521457</v>
      </c>
    </row>
    <row r="52" spans="1:16" ht="28.2" x14ac:dyDescent="0.4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</row>
    <row r="53" spans="1:16" ht="28.2" x14ac:dyDescent="0.45">
      <c r="A53" s="29" t="s">
        <v>85</v>
      </c>
      <c r="B53" s="22">
        <f>B26+B30+B33-B34-B51</f>
        <v>163.57121254719667</v>
      </c>
      <c r="C53" s="22">
        <f t="shared" ref="C53:G53" si="18">C26+C30+C33-C34-C51</f>
        <v>156.67121254719666</v>
      </c>
      <c r="D53" s="22">
        <f t="shared" si="18"/>
        <v>151.87121254719665</v>
      </c>
      <c r="E53" s="22">
        <f t="shared" si="18"/>
        <v>167.64121254719663</v>
      </c>
      <c r="F53" s="22"/>
      <c r="G53" s="22">
        <f t="shared" si="18"/>
        <v>160.76121254719664</v>
      </c>
      <c r="H53" s="76">
        <f>H26+H30+H33-H34-H51</f>
        <v>169.92121254719666</v>
      </c>
      <c r="I53" s="76">
        <f t="shared" ref="I53:J53" si="19">I26+I30+I33-I34-I51</f>
        <v>164.64121254719666</v>
      </c>
      <c r="J53" s="76">
        <f t="shared" si="19"/>
        <v>162.03121254719667</v>
      </c>
      <c r="K53" s="22">
        <f>K26+K30+K33-K34-K51</f>
        <v>167.57121254719664</v>
      </c>
      <c r="L53" s="22">
        <f t="shared" ref="L53:M53" si="20">L26+L30+L33-L34-L51</f>
        <v>161.65121254719665</v>
      </c>
      <c r="M53" s="22">
        <f t="shared" si="20"/>
        <v>157.80121254719666</v>
      </c>
      <c r="N53" s="22">
        <f>N26+N30+N33-N34-N51</f>
        <v>161.95190068970606</v>
      </c>
      <c r="O53" s="22">
        <f t="shared" ref="O53:P53" si="21">O26+O30+O33-O34-O51</f>
        <v>154.93190068970608</v>
      </c>
      <c r="P53" s="22">
        <f t="shared" si="21"/>
        <v>150.62190068970608</v>
      </c>
    </row>
    <row r="54" spans="1:16" x14ac:dyDescent="0.4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</row>
    <row r="55" spans="1:16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</row>
    <row r="56" spans="1:16" ht="28.2" x14ac:dyDescent="0.4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</row>
    <row r="57" spans="1:16" ht="28.2" x14ac:dyDescent="0.4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</row>
    <row r="58" spans="1:16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</row>
    <row r="59" spans="1:16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</row>
    <row r="60" spans="1:16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</row>
    <row r="61" spans="1:16" ht="28.2" x14ac:dyDescent="0.4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</row>
    <row r="62" spans="1:16" ht="28.2" x14ac:dyDescent="0.45">
      <c r="A62" s="29" t="s">
        <v>109</v>
      </c>
      <c r="B62" s="22">
        <f>B53-B57+B58-B59+B60</f>
        <v>132.84121254719668</v>
      </c>
      <c r="C62" s="22">
        <f t="shared" ref="C62:G62" si="22">C53-C57+C58-C59+C60</f>
        <v>125.94121254719667</v>
      </c>
      <c r="D62" s="22">
        <f t="shared" si="22"/>
        <v>121.14121254719666</v>
      </c>
      <c r="E62" s="22">
        <f t="shared" si="22"/>
        <v>136.91121254719664</v>
      </c>
      <c r="F62" s="22"/>
      <c r="G62" s="22">
        <f t="shared" si="22"/>
        <v>130.03121254719665</v>
      </c>
      <c r="H62" s="76">
        <f>H53-H57+H58-H59+H60</f>
        <v>139.19121254719667</v>
      </c>
      <c r="I62" s="76">
        <f t="shared" ref="I62:J62" si="23">I53-I57+I58-I59+I60</f>
        <v>133.91121254719667</v>
      </c>
      <c r="J62" s="76">
        <f t="shared" si="23"/>
        <v>131.30121254719668</v>
      </c>
      <c r="K62" s="22">
        <f>K53-K57+K58-K59+K60</f>
        <v>136.84121254719665</v>
      </c>
      <c r="L62" s="22">
        <f t="shared" ref="L62:M62" si="24">L53-L57+L58-L59+L60</f>
        <v>130.92121254719666</v>
      </c>
      <c r="M62" s="22">
        <f t="shared" si="24"/>
        <v>127.07121254719667</v>
      </c>
      <c r="N62" s="22">
        <f>N53-N57+N58-N59+N60</f>
        <v>131.22190068970608</v>
      </c>
      <c r="O62" s="22">
        <f t="shared" ref="O62:P62" si="25">O53-O57+O58-O59+O60</f>
        <v>124.20190068970609</v>
      </c>
      <c r="P62" s="22">
        <f t="shared" si="25"/>
        <v>119.89190068970609</v>
      </c>
    </row>
    <row r="63" spans="1:16" x14ac:dyDescent="0.4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</row>
    <row r="64" spans="1:16" x14ac:dyDescent="0.4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</row>
    <row r="65" spans="1:16" x14ac:dyDescent="0.45">
      <c r="A65" s="29" t="s">
        <v>98</v>
      </c>
      <c r="B65" s="22">
        <f t="shared" ref="B65:G65" si="26">B17-B23-B51+B21+B33</f>
        <v>154.80000000000004</v>
      </c>
      <c r="C65" s="22">
        <f t="shared" si="26"/>
        <v>150.90000000000003</v>
      </c>
      <c r="D65" s="22">
        <f t="shared" si="26"/>
        <v>146.10000000000002</v>
      </c>
      <c r="E65" s="22">
        <f t="shared" si="26"/>
        <v>161.82000000000002</v>
      </c>
      <c r="F65" s="22"/>
      <c r="G65" s="22">
        <f t="shared" si="26"/>
        <v>157.94000000000003</v>
      </c>
      <c r="H65" s="76">
        <f t="shared" ref="H65:M65" si="27">H17-H23-H51+H21+H33</f>
        <v>161.15000000000003</v>
      </c>
      <c r="I65" s="76">
        <f t="shared" si="27"/>
        <v>158.87000000000003</v>
      </c>
      <c r="J65" s="76">
        <f t="shared" si="27"/>
        <v>156.26000000000005</v>
      </c>
      <c r="K65" s="22">
        <f t="shared" si="27"/>
        <v>158.80000000000001</v>
      </c>
      <c r="L65" s="22">
        <f t="shared" si="27"/>
        <v>155.88000000000002</v>
      </c>
      <c r="M65" s="22">
        <f t="shared" si="27"/>
        <v>152.03000000000003</v>
      </c>
      <c r="N65" s="22">
        <f>N17-N23-N51+N21+N33</f>
        <v>155.83068814250947</v>
      </c>
      <c r="O65" s="22">
        <f>O17-O23-O51+O21+O33</f>
        <v>151.81068814250946</v>
      </c>
      <c r="P65" s="22">
        <f>P17-P23-P51+P21+P33</f>
        <v>147.50068814250946</v>
      </c>
    </row>
  </sheetData>
  <mergeCells count="5"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zoomScale="55" zoomScaleNormal="55" workbookViewId="0">
      <pane xSplit="1" ySplit="1" topLeftCell="B32" activePane="bottomRight" state="frozen"/>
      <selection pane="topRight"/>
      <selection pane="bottomLeft"/>
      <selection pane="bottomRight" activeCell="J1" sqref="J1:K65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6384" width="9" style="1"/>
  </cols>
  <sheetData>
    <row r="1" spans="1:11" ht="14.25" customHeight="1" x14ac:dyDescent="0.4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118</v>
      </c>
      <c r="K1" s="89"/>
    </row>
    <row r="2" spans="1:11" ht="29.25" customHeight="1" x14ac:dyDescent="0.4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</row>
    <row r="4" spans="1:11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</row>
    <row r="6" spans="1:11" x14ac:dyDescent="0.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</row>
    <row r="7" spans="1:11" x14ac:dyDescent="0.4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x14ac:dyDescent="0.4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</row>
    <row r="9" spans="1:11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4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</row>
    <row r="12" spans="1:11" ht="15" customHeight="1" x14ac:dyDescent="0.4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</row>
    <row r="14" spans="1:11" x14ac:dyDescent="0.4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x14ac:dyDescent="0.4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x14ac:dyDescent="0.4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.2" x14ac:dyDescent="0.4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.3" x14ac:dyDescent="0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</row>
    <row r="19" spans="1:11" x14ac:dyDescent="0.4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.3" x14ac:dyDescent="0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4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x14ac:dyDescent="0.4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4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.2" x14ac:dyDescent="0.4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</row>
    <row r="25" spans="1:11" x14ac:dyDescent="0.4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</row>
    <row r="26" spans="1:11" x14ac:dyDescent="0.4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</row>
    <row r="27" spans="1:11" x14ac:dyDescent="0.4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</row>
    <row r="28" spans="1:11" x14ac:dyDescent="0.4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</row>
    <row r="29" spans="1:11" x14ac:dyDescent="0.4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</row>
    <row r="30" spans="1:11" ht="42.3" x14ac:dyDescent="0.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</row>
    <row r="31" spans="1:11" x14ac:dyDescent="0.4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.3" x14ac:dyDescent="0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</row>
    <row r="33" spans="1:11" ht="27.6" x14ac:dyDescent="0.4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</row>
    <row r="34" spans="1:11" ht="28.2" x14ac:dyDescent="0.4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</row>
    <row r="35" spans="1:11" x14ac:dyDescent="0.4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</row>
    <row r="36" spans="1:11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x14ac:dyDescent="0.4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</row>
    <row r="38" spans="1:11" x14ac:dyDescent="0.4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</row>
    <row r="39" spans="1:11" ht="28.2" x14ac:dyDescent="0.45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</row>
    <row r="40" spans="1:11" ht="28.2" x14ac:dyDescent="0.4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</row>
    <row r="41" spans="1:11" x14ac:dyDescent="0.4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</row>
    <row r="42" spans="1:11" x14ac:dyDescent="0.4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pans="1:11" x14ac:dyDescent="0.4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</row>
    <row r="44" spans="1:11" x14ac:dyDescent="0.4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</row>
    <row r="45" spans="1:11" x14ac:dyDescent="0.4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</row>
    <row r="46" spans="1:11" x14ac:dyDescent="0.4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pans="1:11" x14ac:dyDescent="0.4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.2" x14ac:dyDescent="0.4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 x14ac:dyDescent="0.4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</row>
    <row r="50" spans="1:11" ht="28.2" x14ac:dyDescent="0.45">
      <c r="A50" s="7" t="s">
        <v>80</v>
      </c>
      <c r="B50" s="12">
        <f t="shared" ref="B50:G50" si="12">B43+B45+B47-B48</f>
        <v>-118.83697499232716</v>
      </c>
      <c r="C50" s="12">
        <f t="shared" si="12"/>
        <v>-118.43697499232715</v>
      </c>
      <c r="D50" s="12">
        <f t="shared" si="12"/>
        <v>-121.77697499232715</v>
      </c>
      <c r="E50" s="12">
        <f t="shared" si="12"/>
        <v>-121.77697499232715</v>
      </c>
      <c r="F50" s="71">
        <f t="shared" si="12"/>
        <v>-115.26697499232715</v>
      </c>
      <c r="G50" s="71">
        <f t="shared" si="12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3">J43+J45+J47-J48</f>
        <v>-109.39536389278032</v>
      </c>
      <c r="K50" s="12">
        <f t="shared" si="13"/>
        <v>-109.39536389278032</v>
      </c>
    </row>
    <row r="51" spans="1:11" ht="28.2" x14ac:dyDescent="0.4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</row>
    <row r="52" spans="1:11" ht="28.2" x14ac:dyDescent="0.45">
      <c r="A52" s="21" t="s">
        <v>83</v>
      </c>
      <c r="B52" s="22">
        <f t="shared" ref="B52:G52" si="14">B25+B30+B33-B34-B50</f>
        <v>158.60818753952378</v>
      </c>
      <c r="C52" s="22">
        <f t="shared" si="14"/>
        <v>155.20818753952378</v>
      </c>
      <c r="D52" s="22">
        <f t="shared" si="14"/>
        <v>162.63818753952378</v>
      </c>
      <c r="E52" s="22">
        <f t="shared" si="14"/>
        <v>159.63818753952378</v>
      </c>
      <c r="F52" s="76">
        <f t="shared" si="14"/>
        <v>155.03818753952379</v>
      </c>
      <c r="G52" s="76">
        <f t="shared" si="14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15">J25+J30+J33-J34-J50</f>
        <v>156.21807622317601</v>
      </c>
      <c r="K52" s="22">
        <f t="shared" si="15"/>
        <v>153.21807622317601</v>
      </c>
    </row>
    <row r="53" spans="1:11" ht="28.2" x14ac:dyDescent="0.4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</row>
    <row r="54" spans="1:11" x14ac:dyDescent="0.4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</row>
    <row r="55" spans="1:11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.2" x14ac:dyDescent="0.4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</row>
    <row r="57" spans="1:11" ht="28.2" x14ac:dyDescent="0.4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</row>
    <row r="58" spans="1:11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.2" x14ac:dyDescent="0.45">
      <c r="A61" s="21" t="s">
        <v>108</v>
      </c>
      <c r="B61" s="22">
        <f t="shared" ref="B61:G61" si="16">B52-B56+B58-B59+B60</f>
        <v>124.79818753952378</v>
      </c>
      <c r="C61" s="22">
        <f t="shared" si="16"/>
        <v>121.39818753952378</v>
      </c>
      <c r="D61" s="22">
        <f t="shared" si="16"/>
        <v>128.82818753952378</v>
      </c>
      <c r="E61" s="22">
        <f t="shared" si="16"/>
        <v>125.82818753952378</v>
      </c>
      <c r="F61" s="76">
        <f t="shared" si="16"/>
        <v>121.22818753952379</v>
      </c>
      <c r="G61" s="76">
        <f t="shared" si="16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17">J52-J56+J58-J59+J60</f>
        <v>122.40807622317601</v>
      </c>
      <c r="K61" s="22">
        <f t="shared" si="17"/>
        <v>119.40807622317601</v>
      </c>
    </row>
    <row r="62" spans="1:11" ht="28.2" x14ac:dyDescent="0.4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</row>
    <row r="63" spans="1:11" x14ac:dyDescent="0.45">
      <c r="C63" s="2"/>
      <c r="E63" s="2"/>
      <c r="G63" s="79"/>
      <c r="I63" s="79"/>
      <c r="J63" s="2"/>
      <c r="K63" s="2"/>
    </row>
    <row r="64" spans="1:11" x14ac:dyDescent="0.45">
      <c r="A64" s="21" t="s">
        <v>97</v>
      </c>
      <c r="B64" s="22">
        <f t="shared" ref="B64:G64" si="18">B17+B22-B50+B21+B33</f>
        <v>149.83697499232716</v>
      </c>
      <c r="C64" s="22">
        <f t="shared" si="18"/>
        <v>149.43697499232715</v>
      </c>
      <c r="D64" s="22">
        <f t="shared" si="18"/>
        <v>156.81697499232715</v>
      </c>
      <c r="E64" s="22">
        <f t="shared" si="18"/>
        <v>156.81697499232715</v>
      </c>
      <c r="F64" s="76">
        <f t="shared" si="18"/>
        <v>146.26697499232716</v>
      </c>
      <c r="G64" s="76">
        <f t="shared" si="18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19">J17+J22-J50+J21+J33</f>
        <v>147.44686367597939</v>
      </c>
      <c r="K64" s="22">
        <f t="shared" si="19"/>
        <v>147.44686367597939</v>
      </c>
    </row>
    <row r="65" spans="1:11" x14ac:dyDescent="0.4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M13" sqref="M13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6384" width="9" style="1"/>
  </cols>
  <sheetData>
    <row r="1" spans="1:11" ht="14.25" customHeight="1" x14ac:dyDescent="0.4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119</v>
      </c>
      <c r="K1" s="89"/>
    </row>
    <row r="2" spans="1:11" ht="29.25" customHeight="1" x14ac:dyDescent="0.4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</row>
    <row r="4" spans="1:11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</row>
    <row r="6" spans="1:11" x14ac:dyDescent="0.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</row>
    <row r="7" spans="1:11" x14ac:dyDescent="0.4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x14ac:dyDescent="0.4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</row>
    <row r="9" spans="1:11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4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</row>
    <row r="12" spans="1:11" ht="15" customHeight="1" x14ac:dyDescent="0.4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</row>
    <row r="14" spans="1:11" x14ac:dyDescent="0.4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x14ac:dyDescent="0.4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x14ac:dyDescent="0.4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.2" x14ac:dyDescent="0.4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.3" x14ac:dyDescent="0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</row>
    <row r="19" spans="1:11" x14ac:dyDescent="0.4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.3" x14ac:dyDescent="0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4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x14ac:dyDescent="0.4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4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.2" x14ac:dyDescent="0.4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</row>
    <row r="25" spans="1:11" x14ac:dyDescent="0.4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</row>
    <row r="26" spans="1:11" x14ac:dyDescent="0.4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</row>
    <row r="27" spans="1:11" x14ac:dyDescent="0.4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</row>
    <row r="28" spans="1:11" x14ac:dyDescent="0.4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</row>
    <row r="29" spans="1:11" x14ac:dyDescent="0.4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</row>
    <row r="30" spans="1:11" ht="42.3" x14ac:dyDescent="0.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</row>
    <row r="31" spans="1:11" x14ac:dyDescent="0.4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.3" x14ac:dyDescent="0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</row>
    <row r="33" spans="1:11" ht="27.6" x14ac:dyDescent="0.4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</row>
    <row r="34" spans="1:11" ht="28.2" x14ac:dyDescent="0.4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</row>
    <row r="35" spans="1:11" x14ac:dyDescent="0.4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</row>
    <row r="36" spans="1:11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x14ac:dyDescent="0.4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</row>
    <row r="38" spans="1:11" x14ac:dyDescent="0.4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</row>
    <row r="39" spans="1:11" ht="28.2" x14ac:dyDescent="0.45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</row>
    <row r="40" spans="1:11" ht="28.2" x14ac:dyDescent="0.4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</row>
    <row r="41" spans="1:11" x14ac:dyDescent="0.4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</row>
    <row r="42" spans="1:11" x14ac:dyDescent="0.4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pans="1:11" x14ac:dyDescent="0.4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</row>
    <row r="44" spans="1:11" x14ac:dyDescent="0.4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</row>
    <row r="45" spans="1:11" x14ac:dyDescent="0.4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</row>
    <row r="46" spans="1:11" x14ac:dyDescent="0.4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pans="1:11" x14ac:dyDescent="0.4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.2" x14ac:dyDescent="0.4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 x14ac:dyDescent="0.4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</row>
    <row r="50" spans="1:11" ht="28.2" x14ac:dyDescent="0.45">
      <c r="A50" s="7" t="s">
        <v>80</v>
      </c>
      <c r="B50" s="12">
        <f t="shared" ref="B50:G50" si="12">B43+B45+B47-B48</f>
        <v>-115.03697499232715</v>
      </c>
      <c r="C50" s="12">
        <f t="shared" si="12"/>
        <v>-114.83697499232716</v>
      </c>
      <c r="D50" s="12">
        <f t="shared" si="12"/>
        <v>-120.03697499232715</v>
      </c>
      <c r="E50" s="12">
        <f t="shared" si="12"/>
        <v>-120.03697499232715</v>
      </c>
      <c r="F50" s="71">
        <f t="shared" si="12"/>
        <v>-115.29697499232715</v>
      </c>
      <c r="G50" s="71">
        <f t="shared" si="12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3">J43+J45+J47-J48</f>
        <v>-106.80536389278032</v>
      </c>
      <c r="K50" s="12">
        <f t="shared" si="13"/>
        <v>-106.80536389278032</v>
      </c>
    </row>
    <row r="51" spans="1:11" ht="28.2" x14ac:dyDescent="0.4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</row>
    <row r="52" spans="1:11" ht="28.2" x14ac:dyDescent="0.45">
      <c r="A52" s="21" t="s">
        <v>83</v>
      </c>
      <c r="B52" s="22">
        <f t="shared" ref="B52:G52" si="14">B25+B30+B33-B34-B50</f>
        <v>154.80818753952377</v>
      </c>
      <c r="C52" s="22">
        <f t="shared" si="14"/>
        <v>151.60818753952378</v>
      </c>
      <c r="D52" s="22">
        <f t="shared" si="14"/>
        <v>160.89818753952378</v>
      </c>
      <c r="E52" s="22">
        <f t="shared" si="14"/>
        <v>157.89818753952378</v>
      </c>
      <c r="F52" s="76">
        <f t="shared" si="14"/>
        <v>155.06818753952376</v>
      </c>
      <c r="G52" s="76">
        <f t="shared" si="14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15">J25+J30+J33-J34-J50</f>
        <v>153.62807622317601</v>
      </c>
      <c r="K52" s="22">
        <f t="shared" si="15"/>
        <v>150.62807622317601</v>
      </c>
    </row>
    <row r="53" spans="1:11" ht="28.2" x14ac:dyDescent="0.4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</row>
    <row r="54" spans="1:11" x14ac:dyDescent="0.4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</row>
    <row r="55" spans="1:11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.2" x14ac:dyDescent="0.4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</row>
    <row r="57" spans="1:11" ht="28.2" x14ac:dyDescent="0.4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</row>
    <row r="58" spans="1:11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.2" x14ac:dyDescent="0.45">
      <c r="A61" s="21" t="s">
        <v>108</v>
      </c>
      <c r="B61" s="22">
        <f t="shared" ref="B61:G61" si="16">B52-B56+B58-B59+B60</f>
        <v>120.99818753952377</v>
      </c>
      <c r="C61" s="22">
        <f t="shared" si="16"/>
        <v>117.79818753952378</v>
      </c>
      <c r="D61" s="22">
        <f t="shared" si="16"/>
        <v>127.08818753952377</v>
      </c>
      <c r="E61" s="22">
        <f t="shared" si="16"/>
        <v>124.08818753952377</v>
      </c>
      <c r="F61" s="76">
        <f t="shared" si="16"/>
        <v>121.25818753952376</v>
      </c>
      <c r="G61" s="76">
        <f t="shared" si="16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17">J52-J56+J58-J59+J60</f>
        <v>119.81807622317601</v>
      </c>
      <c r="K61" s="22">
        <f t="shared" si="17"/>
        <v>116.81807622317601</v>
      </c>
    </row>
    <row r="62" spans="1:11" ht="28.2" x14ac:dyDescent="0.4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</row>
    <row r="63" spans="1:11" x14ac:dyDescent="0.45">
      <c r="C63" s="2"/>
      <c r="E63" s="2"/>
      <c r="G63" s="79"/>
      <c r="I63" s="79"/>
      <c r="J63" s="2"/>
      <c r="K63" s="2"/>
    </row>
    <row r="64" spans="1:11" x14ac:dyDescent="0.45">
      <c r="A64" s="21" t="s">
        <v>97</v>
      </c>
      <c r="B64" s="22">
        <f t="shared" ref="B64:G64" si="18">B17+B22-B50+B21+B33</f>
        <v>146.03697499232715</v>
      </c>
      <c r="C64" s="22">
        <f t="shared" si="18"/>
        <v>145.83697499232716</v>
      </c>
      <c r="D64" s="22">
        <f t="shared" si="18"/>
        <v>155.07697499232714</v>
      </c>
      <c r="E64" s="22">
        <f t="shared" si="18"/>
        <v>155.07697499232714</v>
      </c>
      <c r="F64" s="76">
        <f t="shared" si="18"/>
        <v>146.29697499232714</v>
      </c>
      <c r="G64" s="76">
        <f t="shared" si="18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19">J17+J22-J50+J21+J33</f>
        <v>144.85686367597938</v>
      </c>
      <c r="K64" s="22">
        <f t="shared" si="19"/>
        <v>144.85686367597938</v>
      </c>
    </row>
    <row r="65" spans="1:11" x14ac:dyDescent="0.4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5"/>
  <sheetViews>
    <sheetView zoomScale="55" zoomScaleNormal="55" workbookViewId="0">
      <pane xSplit="1" ySplit="1" topLeftCell="B32" activePane="bottomRight" state="frozen"/>
      <selection pane="topRight"/>
      <selection pane="bottomLeft"/>
      <selection pane="bottomRight" activeCell="M33" sqref="M33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6384" width="9" style="1"/>
  </cols>
  <sheetData>
    <row r="1" spans="1:11" ht="14.25" customHeight="1" x14ac:dyDescent="0.4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120</v>
      </c>
      <c r="K1" s="89"/>
    </row>
    <row r="2" spans="1:11" ht="29.25" customHeight="1" x14ac:dyDescent="0.4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</row>
    <row r="4" spans="1:11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</row>
    <row r="6" spans="1:11" x14ac:dyDescent="0.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</row>
    <row r="7" spans="1:11" x14ac:dyDescent="0.4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x14ac:dyDescent="0.4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</row>
    <row r="9" spans="1:11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4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</row>
    <row r="12" spans="1:11" ht="15" customHeight="1" x14ac:dyDescent="0.4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</row>
    <row r="14" spans="1:11" x14ac:dyDescent="0.4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x14ac:dyDescent="0.4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x14ac:dyDescent="0.4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.2" x14ac:dyDescent="0.4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.3" x14ac:dyDescent="0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</row>
    <row r="19" spans="1:11" x14ac:dyDescent="0.4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.3" x14ac:dyDescent="0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4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x14ac:dyDescent="0.4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4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.2" x14ac:dyDescent="0.4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</row>
    <row r="25" spans="1:11" x14ac:dyDescent="0.4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</row>
    <row r="26" spans="1:11" x14ac:dyDescent="0.4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</row>
    <row r="27" spans="1:11" x14ac:dyDescent="0.4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</row>
    <row r="28" spans="1:11" x14ac:dyDescent="0.4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</row>
    <row r="29" spans="1:11" x14ac:dyDescent="0.4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</row>
    <row r="30" spans="1:11" ht="42.3" x14ac:dyDescent="0.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</row>
    <row r="31" spans="1:11" x14ac:dyDescent="0.4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.3" x14ac:dyDescent="0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</row>
    <row r="33" spans="1:11" ht="27.6" x14ac:dyDescent="0.4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</row>
    <row r="34" spans="1:11" ht="28.2" x14ac:dyDescent="0.4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</row>
    <row r="35" spans="1:11" x14ac:dyDescent="0.4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</row>
    <row r="36" spans="1:11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x14ac:dyDescent="0.4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</row>
    <row r="38" spans="1:11" x14ac:dyDescent="0.4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</row>
    <row r="39" spans="1:11" ht="28.2" x14ac:dyDescent="0.45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</row>
    <row r="40" spans="1:11" ht="28.2" x14ac:dyDescent="0.4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</row>
    <row r="41" spans="1:11" x14ac:dyDescent="0.4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</row>
    <row r="42" spans="1:11" x14ac:dyDescent="0.4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pans="1:11" x14ac:dyDescent="0.4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</row>
    <row r="44" spans="1:11" x14ac:dyDescent="0.4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</row>
    <row r="45" spans="1:11" x14ac:dyDescent="0.4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</row>
    <row r="46" spans="1:11" x14ac:dyDescent="0.4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pans="1:11" x14ac:dyDescent="0.4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.2" x14ac:dyDescent="0.4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 x14ac:dyDescent="0.4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</row>
    <row r="50" spans="1:11" ht="28.2" x14ac:dyDescent="0.45">
      <c r="A50" s="7" t="s">
        <v>80</v>
      </c>
      <c r="B50" s="12">
        <f t="shared" ref="B50:G50" si="12">B43+B45+B47-B48</f>
        <v>-112.03697499232715</v>
      </c>
      <c r="C50" s="12">
        <f t="shared" si="12"/>
        <v>-111.53697499232715</v>
      </c>
      <c r="D50" s="12">
        <f t="shared" si="12"/>
        <v>-117.51697499232715</v>
      </c>
      <c r="E50" s="12">
        <f t="shared" si="12"/>
        <v>-117.51697499232715</v>
      </c>
      <c r="F50" s="71">
        <f t="shared" si="12"/>
        <v>-115.42697499232715</v>
      </c>
      <c r="G50" s="71">
        <f t="shared" si="12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3">J43+J45+J47-J48</f>
        <v>-104.25306389278032</v>
      </c>
      <c r="K50" s="12">
        <f t="shared" si="13"/>
        <v>-104.25306389278032</v>
      </c>
    </row>
    <row r="51" spans="1:11" ht="28.2" x14ac:dyDescent="0.4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</row>
    <row r="52" spans="1:11" ht="28.2" x14ac:dyDescent="0.45">
      <c r="A52" s="21" t="s">
        <v>83</v>
      </c>
      <c r="B52" s="22">
        <f t="shared" ref="B52:G52" si="14">B25+B30+B33-B34-B50</f>
        <v>151.80818753952377</v>
      </c>
      <c r="C52" s="22">
        <f t="shared" si="14"/>
        <v>148.30818753952377</v>
      </c>
      <c r="D52" s="22">
        <f t="shared" si="14"/>
        <v>158.37818753952376</v>
      </c>
      <c r="E52" s="22">
        <f t="shared" si="14"/>
        <v>155.37818753952376</v>
      </c>
      <c r="F52" s="76">
        <f t="shared" si="14"/>
        <v>155.19818753952376</v>
      </c>
      <c r="G52" s="76">
        <f t="shared" si="14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15">J25+J30+J33-J34-J50</f>
        <v>151.07577622317601</v>
      </c>
      <c r="K52" s="22">
        <f t="shared" si="15"/>
        <v>148.07577622317601</v>
      </c>
    </row>
    <row r="53" spans="1:11" ht="28.2" x14ac:dyDescent="0.4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</row>
    <row r="54" spans="1:11" x14ac:dyDescent="0.4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</row>
    <row r="55" spans="1:11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.2" x14ac:dyDescent="0.4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</row>
    <row r="57" spans="1:11" ht="28.2" x14ac:dyDescent="0.4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</row>
    <row r="58" spans="1:11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.2" x14ac:dyDescent="0.45">
      <c r="A61" s="21" t="s">
        <v>108</v>
      </c>
      <c r="B61" s="22">
        <f t="shared" ref="B61:G61" si="16">B52-B56+B58-B59+B60</f>
        <v>117.99818753952377</v>
      </c>
      <c r="C61" s="22">
        <f t="shared" si="16"/>
        <v>114.49818753952377</v>
      </c>
      <c r="D61" s="22">
        <f t="shared" si="16"/>
        <v>124.56818753952376</v>
      </c>
      <c r="E61" s="22">
        <f t="shared" si="16"/>
        <v>121.56818753952376</v>
      </c>
      <c r="F61" s="76">
        <f t="shared" si="16"/>
        <v>121.38818753952376</v>
      </c>
      <c r="G61" s="76">
        <f t="shared" si="16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17">J52-J56+J58-J59+J60</f>
        <v>117.265776223176</v>
      </c>
      <c r="K61" s="22">
        <f t="shared" si="17"/>
        <v>114.265776223176</v>
      </c>
    </row>
    <row r="62" spans="1:11" ht="28.2" x14ac:dyDescent="0.4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</row>
    <row r="63" spans="1:11" x14ac:dyDescent="0.45">
      <c r="C63" s="2"/>
      <c r="E63" s="2"/>
      <c r="G63" s="79"/>
      <c r="I63" s="79"/>
      <c r="J63" s="2"/>
      <c r="K63" s="2"/>
    </row>
    <row r="64" spans="1:11" x14ac:dyDescent="0.45">
      <c r="A64" s="21" t="s">
        <v>97</v>
      </c>
      <c r="B64" s="22">
        <f t="shared" ref="B64:G64" si="18">B17+B22-B50+B21+B33</f>
        <v>143.03697499232715</v>
      </c>
      <c r="C64" s="22">
        <f t="shared" si="18"/>
        <v>142.53697499232715</v>
      </c>
      <c r="D64" s="22">
        <f t="shared" si="18"/>
        <v>152.55697499232716</v>
      </c>
      <c r="E64" s="22">
        <f t="shared" si="18"/>
        <v>152.55697499232716</v>
      </c>
      <c r="F64" s="76">
        <f t="shared" si="18"/>
        <v>146.42697499232713</v>
      </c>
      <c r="G64" s="76">
        <f t="shared" si="18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19">J17+J22-J50+J21+J33</f>
        <v>142.30456367597938</v>
      </c>
      <c r="K64" s="22">
        <f t="shared" si="19"/>
        <v>142.30456367597938</v>
      </c>
    </row>
    <row r="65" spans="1:11" x14ac:dyDescent="0.4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5"/>
  <sheetViews>
    <sheetView zoomScale="55" zoomScaleNormal="55" workbookViewId="0">
      <pane xSplit="1" ySplit="1" topLeftCell="B35" activePane="bottomRight" state="frozen"/>
      <selection pane="topRight"/>
      <selection pane="bottomLeft"/>
      <selection pane="bottomRight" activeCell="J1" sqref="J1:K65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6384" width="9" style="1"/>
  </cols>
  <sheetData>
    <row r="1" spans="1:11" ht="14.25" customHeight="1" x14ac:dyDescent="0.4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120</v>
      </c>
      <c r="K1" s="89"/>
    </row>
    <row r="2" spans="1:11" ht="29.25" customHeight="1" x14ac:dyDescent="0.4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</row>
    <row r="4" spans="1:11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</row>
    <row r="6" spans="1:11" x14ac:dyDescent="0.4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</row>
    <row r="7" spans="1:11" x14ac:dyDescent="0.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</row>
    <row r="8" spans="1:11" x14ac:dyDescent="0.4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</row>
    <row r="9" spans="1:11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4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</row>
    <row r="12" spans="1:11" ht="15" customHeight="1" x14ac:dyDescent="0.4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</row>
    <row r="14" spans="1:11" x14ac:dyDescent="0.4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x14ac:dyDescent="0.4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x14ac:dyDescent="0.4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.2" x14ac:dyDescent="0.4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.3" x14ac:dyDescent="0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</row>
    <row r="19" spans="1:11" x14ac:dyDescent="0.4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.3" x14ac:dyDescent="0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4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x14ac:dyDescent="0.4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4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.2" x14ac:dyDescent="0.4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</row>
    <row r="25" spans="1:11" x14ac:dyDescent="0.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</row>
    <row r="26" spans="1:11" x14ac:dyDescent="0.4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68">
        <f t="shared" si="2"/>
        <v>22</v>
      </c>
      <c r="G26" s="68">
        <f t="shared" si="2"/>
        <v>19</v>
      </c>
      <c r="H26" s="8">
        <f>H17+H18+H21-H23-H24</f>
        <v>22</v>
      </c>
      <c r="I26" s="8">
        <f>I17+I18+I21-I23-I24</f>
        <v>19</v>
      </c>
      <c r="J26" s="8">
        <f t="shared" ref="J26:K26" si="3">J17+J18+J21-J23-J24</f>
        <v>22</v>
      </c>
      <c r="K26" s="8">
        <f t="shared" si="3"/>
        <v>19</v>
      </c>
    </row>
    <row r="27" spans="1:11" x14ac:dyDescent="0.4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</row>
    <row r="28" spans="1:11" x14ac:dyDescent="0.4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</row>
    <row r="29" spans="1:11" x14ac:dyDescent="0.4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</row>
    <row r="30" spans="1:11" ht="42.3" x14ac:dyDescent="0.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</row>
    <row r="31" spans="1:11" x14ac:dyDescent="0.4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.3" x14ac:dyDescent="0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</row>
    <row r="33" spans="1:11" ht="27.6" x14ac:dyDescent="0.4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</row>
    <row r="34" spans="1:11" ht="28.2" x14ac:dyDescent="0.4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</row>
    <row r="35" spans="1:11" x14ac:dyDescent="0.4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</row>
    <row r="36" spans="1:11" x14ac:dyDescent="0.4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</row>
    <row r="37" spans="1:11" x14ac:dyDescent="0.4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</row>
    <row r="38" spans="1:11" x14ac:dyDescent="0.4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</row>
    <row r="39" spans="1:11" ht="28.2" x14ac:dyDescent="0.4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</row>
    <row r="40" spans="1:11" ht="28.2" x14ac:dyDescent="0.45">
      <c r="A40" s="7" t="s">
        <v>107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1">
        <f t="shared" si="6"/>
        <v>-169.00000000000003</v>
      </c>
      <c r="G40" s="71">
        <f t="shared" si="6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7">10*LOG10(10^((J35+J36)/10)+10^(J38/10))</f>
        <v>-164.03352307536667</v>
      </c>
      <c r="K40" s="12">
        <f t="shared" si="7"/>
        <v>-164.03352307536667</v>
      </c>
    </row>
    <row r="41" spans="1:11" x14ac:dyDescent="0.4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</row>
    <row r="42" spans="1:11" x14ac:dyDescent="0.4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8">30*360*1000</f>
        <v>10800000</v>
      </c>
      <c r="G42" s="74">
        <f t="shared" si="8"/>
        <v>10800000</v>
      </c>
      <c r="H42" s="16">
        <f t="shared" si="8"/>
        <v>10800000</v>
      </c>
      <c r="I42" s="16">
        <f t="shared" si="8"/>
        <v>10800000</v>
      </c>
      <c r="J42" s="16">
        <f t="shared" si="8"/>
        <v>10800000</v>
      </c>
      <c r="K42" s="16">
        <f t="shared" si="8"/>
        <v>10800000</v>
      </c>
    </row>
    <row r="43" spans="1:11" x14ac:dyDescent="0.4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</row>
    <row r="44" spans="1:11" x14ac:dyDescent="0.45">
      <c r="A44" s="7" t="s">
        <v>72</v>
      </c>
      <c r="B44" s="12">
        <f t="shared" ref="B44:G44" si="9">B40+10*LOG10(B42)</f>
        <v>-98.66576244513054</v>
      </c>
      <c r="C44" s="12">
        <f t="shared" si="9"/>
        <v>-98.66576244513054</v>
      </c>
      <c r="D44" s="12">
        <f t="shared" si="9"/>
        <v>-98.251835593548279</v>
      </c>
      <c r="E44" s="12">
        <f t="shared" si="9"/>
        <v>-98.251835593548279</v>
      </c>
      <c r="F44" s="71">
        <f t="shared" si="9"/>
        <v>-98.66576244513054</v>
      </c>
      <c r="G44" s="71">
        <f t="shared" si="9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0">J40+10*LOG10(J42)</f>
        <v>-93.699285520497185</v>
      </c>
      <c r="K44" s="12">
        <f t="shared" si="10"/>
        <v>-93.699285520497185</v>
      </c>
    </row>
    <row r="45" spans="1:11" x14ac:dyDescent="0.4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</row>
    <row r="46" spans="1:11" x14ac:dyDescent="0.4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</row>
    <row r="47" spans="1:11" x14ac:dyDescent="0.4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.2" x14ac:dyDescent="0.4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</row>
    <row r="49" spans="1:11" ht="33.75" customHeight="1" x14ac:dyDescent="0.4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28.2" x14ac:dyDescent="0.4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</row>
    <row r="51" spans="1:11" ht="28.2" x14ac:dyDescent="0.45">
      <c r="A51" s="7" t="s">
        <v>82</v>
      </c>
      <c r="B51" s="12">
        <f t="shared" ref="B51:G51" si="11">B44+B46+B47-B49</f>
        <v>-95.66576244513054</v>
      </c>
      <c r="C51" s="12">
        <f t="shared" si="11"/>
        <v>-95.66576244513054</v>
      </c>
      <c r="D51" s="12">
        <f t="shared" si="11"/>
        <v>-101.10183559354827</v>
      </c>
      <c r="E51" s="12">
        <f t="shared" si="11"/>
        <v>-101.10183559354827</v>
      </c>
      <c r="F51" s="71">
        <f t="shared" si="11"/>
        <v>-101.36576244513054</v>
      </c>
      <c r="G51" s="71">
        <f t="shared" si="11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2">J44+J46+J47-J49</f>
        <v>-90.949285520497185</v>
      </c>
      <c r="K51" s="12">
        <f t="shared" si="12"/>
        <v>-91.139285520497182</v>
      </c>
    </row>
    <row r="52" spans="1:11" ht="28.2" x14ac:dyDescent="0.45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</row>
    <row r="53" spans="1:11" ht="28.2" x14ac:dyDescent="0.45">
      <c r="A53" s="29" t="s">
        <v>85</v>
      </c>
      <c r="B53" s="22">
        <f t="shared" ref="B53:G53" si="13">B26+B30+B33-B34-B51</f>
        <v>139.43697499232718</v>
      </c>
      <c r="C53" s="22">
        <f t="shared" si="13"/>
        <v>136.43697499232718</v>
      </c>
      <c r="D53" s="22">
        <f t="shared" si="13"/>
        <v>141.96304814074489</v>
      </c>
      <c r="E53" s="22">
        <f t="shared" si="13"/>
        <v>138.96304814074489</v>
      </c>
      <c r="F53" s="76">
        <f t="shared" si="13"/>
        <v>145.13697499232717</v>
      </c>
      <c r="G53" s="76">
        <f t="shared" si="13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14">J26+J30+J33-J34-J51</f>
        <v>137.77199785089289</v>
      </c>
      <c r="K53" s="22">
        <f t="shared" si="14"/>
        <v>134.96199785089289</v>
      </c>
    </row>
    <row r="54" spans="1:11" x14ac:dyDescent="0.4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</row>
    <row r="55" spans="1:11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.2" x14ac:dyDescent="0.45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</row>
    <row r="57" spans="1:11" ht="28.2" x14ac:dyDescent="0.4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</row>
    <row r="58" spans="1:11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.2" x14ac:dyDescent="0.4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</row>
    <row r="62" spans="1:11" ht="28.2" x14ac:dyDescent="0.45">
      <c r="A62" s="29" t="s">
        <v>109</v>
      </c>
      <c r="B62" s="22">
        <f t="shared" ref="B62:G62" si="15">B53-B57+B58-B59+B60</f>
        <v>108.70697499232719</v>
      </c>
      <c r="C62" s="22">
        <f t="shared" si="15"/>
        <v>105.70697499232719</v>
      </c>
      <c r="D62" s="22">
        <f t="shared" si="15"/>
        <v>111.2330481407449</v>
      </c>
      <c r="E62" s="22">
        <f t="shared" si="15"/>
        <v>108.2330481407449</v>
      </c>
      <c r="F62" s="76">
        <f t="shared" si="15"/>
        <v>114.40697499232718</v>
      </c>
      <c r="G62" s="76">
        <f t="shared" si="15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16">J53-J57+J58-J59+J60</f>
        <v>107.0419978508929</v>
      </c>
      <c r="K62" s="22">
        <f t="shared" si="16"/>
        <v>104.2319978508929</v>
      </c>
    </row>
    <row r="63" spans="1:11" x14ac:dyDescent="0.45">
      <c r="B63" s="35"/>
      <c r="C63" s="35"/>
      <c r="D63" s="35"/>
      <c r="E63" s="35"/>
      <c r="F63" s="81"/>
      <c r="G63" s="81"/>
      <c r="H63" s="81"/>
      <c r="I63" s="81"/>
      <c r="J63" s="35"/>
      <c r="K63" s="35"/>
    </row>
    <row r="64" spans="1:11" x14ac:dyDescent="0.4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</row>
    <row r="65" spans="1:11" x14ac:dyDescent="0.45">
      <c r="A65" s="29" t="s">
        <v>98</v>
      </c>
      <c r="B65" s="22">
        <f t="shared" ref="B65:G65" si="17">B17-B23-B51+B21+B33</f>
        <v>130.66576244513055</v>
      </c>
      <c r="C65" s="22">
        <f t="shared" si="17"/>
        <v>130.66576244513055</v>
      </c>
      <c r="D65" s="22">
        <f t="shared" si="17"/>
        <v>136.14183559354828</v>
      </c>
      <c r="E65" s="22">
        <f t="shared" si="17"/>
        <v>136.14183559354828</v>
      </c>
      <c r="F65" s="76">
        <f t="shared" si="17"/>
        <v>136.36576244513054</v>
      </c>
      <c r="G65" s="76">
        <f t="shared" si="17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18">J17-J23-J51+J21+J33</f>
        <v>129.00078530369623</v>
      </c>
      <c r="K65" s="22">
        <f t="shared" si="18"/>
        <v>129.19078530369623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"/>
  <sheetViews>
    <sheetView zoomScale="40" zoomScaleNormal="40" workbookViewId="0">
      <pane xSplit="1" ySplit="1" topLeftCell="B23" activePane="bottomRight" state="frozen"/>
      <selection pane="topRight"/>
      <selection pane="bottomLeft"/>
      <selection pane="bottomRight" activeCell="M1" sqref="M1:O65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384" width="9" style="1"/>
  </cols>
  <sheetData>
    <row r="1" spans="1:15" ht="14.25" customHeight="1" x14ac:dyDescent="0.45">
      <c r="A1" s="3"/>
      <c r="B1" s="89" t="s">
        <v>100</v>
      </c>
      <c r="C1" s="89"/>
      <c r="D1" s="89"/>
      <c r="E1" s="89" t="s">
        <v>101</v>
      </c>
      <c r="F1" s="89"/>
      <c r="G1" s="90" t="s">
        <v>113</v>
      </c>
      <c r="H1" s="90"/>
      <c r="I1" s="90"/>
      <c r="J1" s="89" t="s">
        <v>114</v>
      </c>
      <c r="K1" s="89"/>
      <c r="L1" s="89"/>
      <c r="M1" s="89" t="s">
        <v>120</v>
      </c>
      <c r="N1" s="89"/>
      <c r="O1" s="89"/>
    </row>
    <row r="2" spans="1:15" ht="29.25" customHeight="1" x14ac:dyDescent="0.4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</row>
    <row r="3" spans="1:15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</row>
    <row r="4" spans="1:15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</row>
    <row r="6" spans="1:15" x14ac:dyDescent="0.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</row>
    <row r="7" spans="1:15" x14ac:dyDescent="0.4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</row>
    <row r="8" spans="1:15" x14ac:dyDescent="0.4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</row>
    <row r="9" spans="1:15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 x14ac:dyDescent="0.4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</row>
    <row r="12" spans="1:15" ht="15" customHeight="1" x14ac:dyDescent="0.4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</row>
    <row r="13" spans="1:15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</row>
    <row r="14" spans="1:15" x14ac:dyDescent="0.4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</row>
    <row r="15" spans="1:15" x14ac:dyDescent="0.4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</row>
    <row r="16" spans="1:15" x14ac:dyDescent="0.4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</row>
    <row r="17" spans="1:15" ht="28.2" x14ac:dyDescent="0.45">
      <c r="A17" s="7" t="s">
        <v>35</v>
      </c>
      <c r="B17" s="12">
        <f t="shared" ref="B17:I17" si="2">B15+10*LOG10(B41/1000000)</f>
        <v>45.375437381428746</v>
      </c>
      <c r="C17" s="12">
        <f t="shared" si="2"/>
        <v>45.375437381428746</v>
      </c>
      <c r="D17" s="12">
        <f t="shared" si="2"/>
        <v>45.375437381428746</v>
      </c>
      <c r="E17" s="12">
        <f t="shared" si="2"/>
        <v>45.375437381428746</v>
      </c>
      <c r="F17" s="12">
        <f t="shared" si="2"/>
        <v>45.375437381428746</v>
      </c>
      <c r="G17" s="71">
        <f t="shared" si="2"/>
        <v>45.375437381428746</v>
      </c>
      <c r="H17" s="71">
        <f t="shared" si="2"/>
        <v>45.375437381428746</v>
      </c>
      <c r="I17" s="71">
        <f t="shared" si="2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3">M15+10*LOG10(M41/1000000)</f>
        <v>45.375437381428746</v>
      </c>
      <c r="N17" s="12">
        <f t="shared" si="3"/>
        <v>45.375437381428746</v>
      </c>
      <c r="O17" s="12">
        <f t="shared" si="3"/>
        <v>45.375437381428746</v>
      </c>
    </row>
    <row r="18" spans="1:15" ht="42.3" x14ac:dyDescent="0.45">
      <c r="A18" s="14" t="s">
        <v>37</v>
      </c>
      <c r="B18" s="12">
        <f t="shared" ref="B18:I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>
        <f t="shared" si="4"/>
        <v>9.8212125471966232</v>
      </c>
      <c r="G18" s="71">
        <f t="shared" si="4"/>
        <v>12.771212547196624</v>
      </c>
      <c r="H18" s="71">
        <f t="shared" si="4"/>
        <v>12.771212547196624</v>
      </c>
      <c r="I18" s="71">
        <f t="shared" si="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5">M19+10*LOG10(M12/M13)-M20</f>
        <v>10.121212547196624</v>
      </c>
      <c r="N18" s="12">
        <f t="shared" si="5"/>
        <v>10.121212547196624</v>
      </c>
      <c r="O18" s="12">
        <f t="shared" si="5"/>
        <v>10.121212547196624</v>
      </c>
    </row>
    <row r="19" spans="1:15" x14ac:dyDescent="0.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</row>
    <row r="20" spans="1:15" ht="42.3" x14ac:dyDescent="0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</row>
    <row r="21" spans="1:15" ht="61.5" customHeight="1" x14ac:dyDescent="0.4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6">10*LOG10(N13/N14)-8</f>
        <v>7.0514997831990609</v>
      </c>
      <c r="O21" s="16">
        <f t="shared" si="6"/>
        <v>7.0514997831990609</v>
      </c>
    </row>
    <row r="22" spans="1:15" x14ac:dyDescent="0.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x14ac:dyDescent="0.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28.2" x14ac:dyDescent="0.4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</row>
    <row r="25" spans="1:15" x14ac:dyDescent="0.45">
      <c r="A25" s="7" t="s">
        <v>49</v>
      </c>
      <c r="B25" s="12">
        <f t="shared" ref="B25:I25" si="7">B17+B18+B21+B22-B24</f>
        <v>63.146649928625379</v>
      </c>
      <c r="C25" s="12">
        <f t="shared" si="7"/>
        <v>63.146649928625379</v>
      </c>
      <c r="D25" s="12">
        <f t="shared" si="7"/>
        <v>63.146649928625379</v>
      </c>
      <c r="E25" s="12">
        <f t="shared" si="7"/>
        <v>53.806649928625369</v>
      </c>
      <c r="F25" s="12">
        <f t="shared" si="7"/>
        <v>53.806649928625369</v>
      </c>
      <c r="G25" s="71">
        <f t="shared" si="7"/>
        <v>63.146649928625379</v>
      </c>
      <c r="H25" s="71">
        <f t="shared" si="7"/>
        <v>63.146649928625379</v>
      </c>
      <c r="I25" s="71">
        <f t="shared" si="7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8">M17+M18+M21+M22-M24</f>
        <v>59.548149711824436</v>
      </c>
      <c r="N25" s="12">
        <f t="shared" si="8"/>
        <v>59.548149711824436</v>
      </c>
      <c r="O25" s="12">
        <f t="shared" si="8"/>
        <v>59.548149711824436</v>
      </c>
    </row>
    <row r="26" spans="1:15" x14ac:dyDescent="0.4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</row>
    <row r="27" spans="1:15" x14ac:dyDescent="0.4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</row>
    <row r="28" spans="1:15" x14ac:dyDescent="0.4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</row>
    <row r="29" spans="1:15" x14ac:dyDescent="0.4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</row>
    <row r="30" spans="1:15" ht="42.3" x14ac:dyDescent="0.45">
      <c r="A30" s="7" t="s">
        <v>56</v>
      </c>
      <c r="B30" s="12">
        <f t="shared" ref="B30:I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>
        <f t="shared" si="9"/>
        <v>-3</v>
      </c>
      <c r="G30" s="71">
        <f t="shared" si="9"/>
        <v>0</v>
      </c>
      <c r="H30" s="71">
        <f t="shared" si="9"/>
        <v>-3</v>
      </c>
      <c r="I30" s="71">
        <f t="shared" si="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0">M31+10*LOG10(M28/M29)-M32</f>
        <v>0</v>
      </c>
      <c r="N30" s="12">
        <f t="shared" si="10"/>
        <v>-3</v>
      </c>
      <c r="O30" s="12">
        <f t="shared" si="10"/>
        <v>-3</v>
      </c>
    </row>
    <row r="31" spans="1:15" x14ac:dyDescent="0.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</row>
    <row r="32" spans="1:15" ht="42.3" x14ac:dyDescent="0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ht="27.6" x14ac:dyDescent="0.4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ht="28.2" x14ac:dyDescent="0.4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</row>
    <row r="35" spans="1:15" x14ac:dyDescent="0.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x14ac:dyDescent="0.4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</row>
    <row r="38" spans="1:15" x14ac:dyDescent="0.4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</row>
    <row r="39" spans="1:15" ht="28.2" x14ac:dyDescent="0.45">
      <c r="A39" s="7" t="s">
        <v>106</v>
      </c>
      <c r="B39" s="12">
        <f t="shared" ref="B39:I39" si="11">10*LOG10(10^((B35+B36)/10)+10^(B37/10))</f>
        <v>-167.00000000000003</v>
      </c>
      <c r="C39" s="12">
        <f t="shared" si="11"/>
        <v>-167.00000000000003</v>
      </c>
      <c r="D39" s="12">
        <f t="shared" si="11"/>
        <v>-167.00000000000003</v>
      </c>
      <c r="E39" s="12">
        <f t="shared" si="11"/>
        <v>-167.00000000000003</v>
      </c>
      <c r="F39" s="12">
        <f t="shared" si="11"/>
        <v>-167.00000000000003</v>
      </c>
      <c r="G39" s="71">
        <f t="shared" si="11"/>
        <v>-167.00000000000003</v>
      </c>
      <c r="H39" s="71">
        <f t="shared" si="11"/>
        <v>-167.00000000000003</v>
      </c>
      <c r="I39" s="71">
        <f t="shared" si="1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12">10*LOG10(10^((M35+M36)/10)+10^(M37/10))</f>
        <v>-164.98918835931039</v>
      </c>
      <c r="N39" s="12">
        <f t="shared" si="12"/>
        <v>-164.98918835931039</v>
      </c>
      <c r="O39" s="12">
        <f t="shared" si="12"/>
        <v>-164.98918835931039</v>
      </c>
    </row>
    <row r="40" spans="1:15" ht="28.2" x14ac:dyDescent="0.45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</row>
    <row r="41" spans="1:15" x14ac:dyDescent="0.45">
      <c r="A41" s="20" t="s">
        <v>68</v>
      </c>
      <c r="B41" s="12">
        <f t="shared" ref="B41:I41" si="13">48*360*1000</f>
        <v>17280000</v>
      </c>
      <c r="C41" s="12">
        <f t="shared" si="13"/>
        <v>17280000</v>
      </c>
      <c r="D41" s="12">
        <f t="shared" si="13"/>
        <v>17280000</v>
      </c>
      <c r="E41" s="12">
        <f t="shared" si="13"/>
        <v>17280000</v>
      </c>
      <c r="F41" s="12">
        <f t="shared" si="13"/>
        <v>17280000</v>
      </c>
      <c r="G41" s="71">
        <f t="shared" si="13"/>
        <v>17280000</v>
      </c>
      <c r="H41" s="71">
        <f t="shared" si="13"/>
        <v>17280000</v>
      </c>
      <c r="I41" s="71">
        <f t="shared" si="13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14">48*360*1000</f>
        <v>17280000</v>
      </c>
      <c r="N41" s="12">
        <f t="shared" si="14"/>
        <v>17280000</v>
      </c>
      <c r="O41" s="12">
        <f t="shared" si="14"/>
        <v>17280000</v>
      </c>
    </row>
    <row r="42" spans="1:15" x14ac:dyDescent="0.4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</row>
    <row r="43" spans="1:15" x14ac:dyDescent="0.45">
      <c r="A43" s="7" t="s">
        <v>71</v>
      </c>
      <c r="B43" s="12">
        <f t="shared" ref="B43:I43" si="15">B39+10*LOG10(B41)</f>
        <v>-94.624562618571289</v>
      </c>
      <c r="C43" s="12">
        <f t="shared" si="15"/>
        <v>-94.624562618571289</v>
      </c>
      <c r="D43" s="12">
        <f t="shared" si="15"/>
        <v>-94.624562618571289</v>
      </c>
      <c r="E43" s="12">
        <f t="shared" si="15"/>
        <v>-94.624562618571289</v>
      </c>
      <c r="F43" s="12">
        <f t="shared" si="15"/>
        <v>-94.624562618571289</v>
      </c>
      <c r="G43" s="71">
        <f t="shared" si="15"/>
        <v>-94.624562618571289</v>
      </c>
      <c r="H43" s="71">
        <f t="shared" si="15"/>
        <v>-94.624562618571289</v>
      </c>
      <c r="I43" s="71">
        <f t="shared" si="15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16">M39+10*LOG10(M41)</f>
        <v>-92.613750977881651</v>
      </c>
      <c r="N43" s="12">
        <f t="shared" si="16"/>
        <v>-92.613750977881651</v>
      </c>
      <c r="O43" s="12">
        <f t="shared" si="16"/>
        <v>-92.613750977881651</v>
      </c>
    </row>
    <row r="44" spans="1:15" x14ac:dyDescent="0.4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</row>
    <row r="45" spans="1:15" x14ac:dyDescent="0.4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</row>
    <row r="46" spans="1:15" x14ac:dyDescent="0.4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</row>
    <row r="47" spans="1:15" x14ac:dyDescent="0.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</row>
    <row r="48" spans="1:15" ht="28.2" x14ac:dyDescent="0.4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 x14ac:dyDescent="0.4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</row>
    <row r="50" spans="1:15" ht="28.2" x14ac:dyDescent="0.45">
      <c r="A50" s="7" t="s">
        <v>80</v>
      </c>
      <c r="B50" s="12">
        <f t="shared" ref="B50:I50" si="17">B43+B45+B47-B48</f>
        <v>-103.72456261857128</v>
      </c>
      <c r="C50" s="12">
        <f t="shared" si="17"/>
        <v>-100.92456261857129</v>
      </c>
      <c r="D50" s="12">
        <f t="shared" si="17"/>
        <v>-97.424562618571287</v>
      </c>
      <c r="E50" s="12">
        <f t="shared" si="17"/>
        <v>-104.17456261857129</v>
      </c>
      <c r="F50" s="12">
        <f t="shared" si="17"/>
        <v>-98.01456261857129</v>
      </c>
      <c r="G50" s="71">
        <f t="shared" si="17"/>
        <v>-105.31456261857129</v>
      </c>
      <c r="H50" s="71">
        <f t="shared" si="17"/>
        <v>-102.00456261857128</v>
      </c>
      <c r="I50" s="71">
        <f t="shared" si="17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18">M43+M45+M47-M48</f>
        <v>-99.073750977881645</v>
      </c>
      <c r="N50" s="12">
        <f t="shared" si="18"/>
        <v>-96.393750977881652</v>
      </c>
      <c r="O50" s="12">
        <f t="shared" si="18"/>
        <v>-93.173750977881653</v>
      </c>
    </row>
    <row r="51" spans="1:15" ht="28.2" x14ac:dyDescent="0.4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</row>
    <row r="52" spans="1:15" ht="28.2" x14ac:dyDescent="0.45">
      <c r="A52" s="21" t="s">
        <v>83</v>
      </c>
      <c r="B52" s="22">
        <f t="shared" ref="B52:G52" si="19">B25+B30+B33-B34-B50</f>
        <v>165.87121254719665</v>
      </c>
      <c r="C52" s="22">
        <f t="shared" si="19"/>
        <v>160.07121254719667</v>
      </c>
      <c r="D52" s="22">
        <f t="shared" si="19"/>
        <v>156.57121254719667</v>
      </c>
      <c r="E52" s="22">
        <f t="shared" si="19"/>
        <v>156.98121254719666</v>
      </c>
      <c r="F52" s="22">
        <f t="shared" si="19"/>
        <v>147.82121254719667</v>
      </c>
      <c r="G52" s="76">
        <f t="shared" si="19"/>
        <v>167.46121254719668</v>
      </c>
      <c r="H52" s="76">
        <f t="shared" ref="H52:I52" si="20">H25+H30+H33-H34-H50</f>
        <v>161.15121254719668</v>
      </c>
      <c r="I52" s="76">
        <f t="shared" si="20"/>
        <v>157.19121254719667</v>
      </c>
      <c r="J52" s="22">
        <f>J25+J30+J33-J34-J50</f>
        <v>164.66121254719667</v>
      </c>
      <c r="K52" s="22">
        <f t="shared" ref="K52:O52" si="21">K25+K30+K33-K34-K50</f>
        <v>159.17121254719666</v>
      </c>
      <c r="L52" s="22">
        <f t="shared" si="21"/>
        <v>155.47121254719667</v>
      </c>
      <c r="M52" s="22">
        <f t="shared" si="21"/>
        <v>157.62190068970608</v>
      </c>
      <c r="N52" s="22">
        <f t="shared" si="21"/>
        <v>151.94190068970607</v>
      </c>
      <c r="O52" s="22">
        <f t="shared" si="21"/>
        <v>148.7219006897061</v>
      </c>
    </row>
    <row r="53" spans="1:15" ht="28.2" x14ac:dyDescent="0.45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</row>
    <row r="54" spans="1:15" x14ac:dyDescent="0.4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</row>
    <row r="55" spans="1:15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28.2" x14ac:dyDescent="0.45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</row>
    <row r="57" spans="1:15" ht="28.2" x14ac:dyDescent="0.45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</row>
    <row r="58" spans="1:15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28.2" x14ac:dyDescent="0.45">
      <c r="A61" s="21" t="s">
        <v>108</v>
      </c>
      <c r="B61" s="22">
        <f t="shared" ref="B61:G61" si="22">B52-B56+B58-B59+B60</f>
        <v>132.06121254719665</v>
      </c>
      <c r="C61" s="22">
        <f t="shared" si="22"/>
        <v>126.26121254719666</v>
      </c>
      <c r="D61" s="22">
        <f t="shared" si="22"/>
        <v>122.76121254719666</v>
      </c>
      <c r="E61" s="22">
        <f t="shared" si="22"/>
        <v>123.17121254719666</v>
      </c>
      <c r="F61" s="22">
        <f t="shared" si="22"/>
        <v>114.01121254719666</v>
      </c>
      <c r="G61" s="76">
        <f t="shared" si="22"/>
        <v>133.65121254719668</v>
      </c>
      <c r="H61" s="76">
        <f t="shared" ref="H61:I61" si="23">H52-H56+H58-H59+H60</f>
        <v>127.34121254719668</v>
      </c>
      <c r="I61" s="76">
        <f t="shared" si="23"/>
        <v>123.38121254719667</v>
      </c>
      <c r="J61" s="22">
        <f>J52-J56+J58-J59+J60</f>
        <v>130.85121254719667</v>
      </c>
      <c r="K61" s="22">
        <f t="shared" ref="K61:O61" si="24">K52-K56+K58-K59+K60</f>
        <v>125.36121254719666</v>
      </c>
      <c r="L61" s="22">
        <f t="shared" si="24"/>
        <v>121.66121254719667</v>
      </c>
      <c r="M61" s="22">
        <f t="shared" si="24"/>
        <v>123.81190068970608</v>
      </c>
      <c r="N61" s="22">
        <f t="shared" si="24"/>
        <v>118.13190068970607</v>
      </c>
      <c r="O61" s="22">
        <f t="shared" si="24"/>
        <v>114.9119006897061</v>
      </c>
    </row>
    <row r="62" spans="1:15" ht="28.2" x14ac:dyDescent="0.45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</row>
    <row r="63" spans="1:15" x14ac:dyDescent="0.45">
      <c r="C63" s="2"/>
      <c r="D63" s="2"/>
      <c r="F63" s="2"/>
      <c r="H63" s="79"/>
      <c r="I63" s="79"/>
      <c r="K63" s="79"/>
      <c r="L63" s="79"/>
      <c r="M63" s="2"/>
      <c r="N63" s="2"/>
      <c r="O63" s="2"/>
    </row>
    <row r="64" spans="1:15" x14ac:dyDescent="0.45">
      <c r="A64" s="21" t="s">
        <v>97</v>
      </c>
      <c r="B64" s="22">
        <f t="shared" ref="B64:I64" si="25">B17+B22-B50+B21+B33</f>
        <v>157.10000000000002</v>
      </c>
      <c r="C64" s="22">
        <f t="shared" si="25"/>
        <v>154.30000000000004</v>
      </c>
      <c r="D64" s="22">
        <f t="shared" si="25"/>
        <v>150.80000000000004</v>
      </c>
      <c r="E64" s="22">
        <f t="shared" si="25"/>
        <v>151.16000000000005</v>
      </c>
      <c r="F64" s="22">
        <f t="shared" si="25"/>
        <v>145.00000000000006</v>
      </c>
      <c r="G64" s="76">
        <f t="shared" si="25"/>
        <v>158.69000000000003</v>
      </c>
      <c r="H64" s="76">
        <f t="shared" si="25"/>
        <v>155.38000000000002</v>
      </c>
      <c r="I64" s="76">
        <f t="shared" si="25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26">M17+M22-M50+M21+M33</f>
        <v>151.50068814250946</v>
      </c>
      <c r="N64" s="22">
        <f t="shared" si="26"/>
        <v>148.82068814250945</v>
      </c>
      <c r="O64" s="22">
        <f t="shared" si="26"/>
        <v>145.60068814250945</v>
      </c>
    </row>
    <row r="65" spans="1:15" x14ac:dyDescent="0.4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</row>
  </sheetData>
  <mergeCells count="5"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5"/>
  <sheetViews>
    <sheetView zoomScale="40" zoomScaleNormal="40" workbookViewId="0">
      <pane xSplit="1" ySplit="1" topLeftCell="B2" activePane="bottomRight" state="frozen"/>
      <selection pane="topRight"/>
      <selection pane="bottomLeft"/>
      <selection pane="bottomRight" activeCell="O38" sqref="O38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384" width="9" style="1"/>
  </cols>
  <sheetData>
    <row r="1" spans="1:15" ht="14.25" customHeight="1" x14ac:dyDescent="0.45">
      <c r="A1" s="3"/>
      <c r="B1" s="89" t="s">
        <v>100</v>
      </c>
      <c r="C1" s="89"/>
      <c r="D1" s="89"/>
      <c r="E1" s="89" t="s">
        <v>101</v>
      </c>
      <c r="F1" s="89"/>
      <c r="G1" s="90" t="s">
        <v>113</v>
      </c>
      <c r="H1" s="90"/>
      <c r="I1" s="90"/>
      <c r="J1" s="89" t="s">
        <v>114</v>
      </c>
      <c r="K1" s="89"/>
      <c r="L1" s="89"/>
      <c r="M1" s="89" t="s">
        <v>123</v>
      </c>
      <c r="N1" s="89"/>
      <c r="O1" s="89"/>
    </row>
    <row r="2" spans="1:15" ht="29.25" customHeight="1" x14ac:dyDescent="0.4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</row>
    <row r="3" spans="1:15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</row>
    <row r="4" spans="1:15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</row>
    <row r="6" spans="1:15" x14ac:dyDescent="0.4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</row>
    <row r="7" spans="1:15" x14ac:dyDescent="0.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</row>
    <row r="8" spans="1:15" x14ac:dyDescent="0.4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</row>
    <row r="9" spans="1:15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 x14ac:dyDescent="0.4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</row>
    <row r="12" spans="1:15" ht="15" customHeight="1" x14ac:dyDescent="0.4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</row>
    <row r="13" spans="1:15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</row>
    <row r="14" spans="1:15" x14ac:dyDescent="0.4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</row>
    <row r="15" spans="1:15" x14ac:dyDescent="0.4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</row>
    <row r="16" spans="1:15" x14ac:dyDescent="0.4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</row>
    <row r="17" spans="1:15" ht="28.2" x14ac:dyDescent="0.45">
      <c r="A17" s="7" t="s">
        <v>35</v>
      </c>
      <c r="B17" s="12">
        <f t="shared" ref="B17:I17" si="2">B15+10*LOG10(B42/1000000)</f>
        <v>34.583624920952495</v>
      </c>
      <c r="C17" s="12">
        <f t="shared" si="2"/>
        <v>34.583624920952495</v>
      </c>
      <c r="D17" s="12">
        <f t="shared" si="2"/>
        <v>34.583624920952495</v>
      </c>
      <c r="E17" s="12">
        <f t="shared" si="2"/>
        <v>33.334237554869496</v>
      </c>
      <c r="F17" s="12">
        <f t="shared" si="2"/>
        <v>33.334237554869496</v>
      </c>
      <c r="G17" s="71">
        <f t="shared" si="2"/>
        <v>33.334237554869496</v>
      </c>
      <c r="H17" s="71">
        <f t="shared" si="2"/>
        <v>33.334237554869496</v>
      </c>
      <c r="I17" s="71">
        <f t="shared" si="2"/>
        <v>33.334237554869496</v>
      </c>
      <c r="J17" s="12">
        <f t="shared" ref="J17:O17" si="3">J15+10*LOG10(J42/1000000)</f>
        <v>34.583624920952495</v>
      </c>
      <c r="K17" s="12">
        <f t="shared" si="3"/>
        <v>34.583624920952495</v>
      </c>
      <c r="L17" s="12">
        <f t="shared" si="3"/>
        <v>34.583624920952495</v>
      </c>
      <c r="M17" s="12">
        <f t="shared" si="3"/>
        <v>34.583624920952495</v>
      </c>
      <c r="N17" s="12">
        <f t="shared" si="3"/>
        <v>34.583624920952495</v>
      </c>
      <c r="O17" s="12">
        <f t="shared" si="3"/>
        <v>34.583624920952495</v>
      </c>
    </row>
    <row r="18" spans="1:15" ht="42.3" x14ac:dyDescent="0.45">
      <c r="A18" s="14" t="s">
        <v>37</v>
      </c>
      <c r="B18" s="12">
        <f t="shared" ref="B18:I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>
        <f t="shared" si="4"/>
        <v>9.8212125471966232</v>
      </c>
      <c r="G18" s="71">
        <f t="shared" si="4"/>
        <v>12.771212547196624</v>
      </c>
      <c r="H18" s="71">
        <f t="shared" si="4"/>
        <v>12.771212547196624</v>
      </c>
      <c r="I18" s="71">
        <f t="shared" si="4"/>
        <v>12.771212547196624</v>
      </c>
      <c r="J18" s="12">
        <f t="shared" ref="J18:O18" si="5">J19+10*LOG10(J12/J13)-J20</f>
        <v>12.771212547196624</v>
      </c>
      <c r="K18" s="12">
        <f t="shared" si="5"/>
        <v>12.771212547196624</v>
      </c>
      <c r="L18" s="12">
        <f t="shared" si="5"/>
        <v>12.771212547196624</v>
      </c>
      <c r="M18" s="12">
        <f t="shared" si="5"/>
        <v>10.121212547196624</v>
      </c>
      <c r="N18" s="12">
        <f t="shared" si="5"/>
        <v>10.121212547196624</v>
      </c>
      <c r="O18" s="12">
        <f t="shared" si="5"/>
        <v>10.121212547196624</v>
      </c>
    </row>
    <row r="19" spans="1:15" x14ac:dyDescent="0.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</row>
    <row r="20" spans="1:15" ht="42.3" x14ac:dyDescent="0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</row>
    <row r="21" spans="1:15" ht="61.5" customHeight="1" x14ac:dyDescent="0.4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6">10*LOG10(N13/N14)-8</f>
        <v>7.0514997831990609</v>
      </c>
      <c r="O21" s="16">
        <f t="shared" si="6"/>
        <v>7.0514997831990609</v>
      </c>
    </row>
    <row r="22" spans="1:15" x14ac:dyDescent="0.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x14ac:dyDescent="0.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28.2" x14ac:dyDescent="0.4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</row>
    <row r="25" spans="1:15" x14ac:dyDescent="0.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</row>
    <row r="26" spans="1:15" x14ac:dyDescent="0.45">
      <c r="A26" s="7" t="s">
        <v>51</v>
      </c>
      <c r="B26" s="12">
        <f t="shared" ref="B26:I26" si="7">B17+B18+B21-B23-B24</f>
        <v>52.354837468149121</v>
      </c>
      <c r="C26" s="12">
        <f t="shared" si="7"/>
        <v>52.354837468149121</v>
      </c>
      <c r="D26" s="12">
        <f t="shared" si="7"/>
        <v>52.354837468149121</v>
      </c>
      <c r="E26" s="12">
        <f t="shared" si="7"/>
        <v>41.765450102066119</v>
      </c>
      <c r="F26" s="12">
        <f t="shared" si="7"/>
        <v>41.765450102066119</v>
      </c>
      <c r="G26" s="71">
        <f t="shared" si="7"/>
        <v>51.105450102066122</v>
      </c>
      <c r="H26" s="71">
        <f t="shared" si="7"/>
        <v>51.105450102066122</v>
      </c>
      <c r="I26" s="71">
        <f t="shared" si="7"/>
        <v>51.105450102066122</v>
      </c>
      <c r="J26" s="12">
        <f t="shared" ref="J26:O26" si="8">J17+J18+J21-J23-J24</f>
        <v>52.354837468149121</v>
      </c>
      <c r="K26" s="12">
        <f t="shared" si="8"/>
        <v>52.354837468149121</v>
      </c>
      <c r="L26" s="12">
        <f t="shared" si="8"/>
        <v>52.354837468149121</v>
      </c>
      <c r="M26" s="12">
        <f t="shared" si="8"/>
        <v>48.756337251348185</v>
      </c>
      <c r="N26" s="12">
        <f t="shared" si="8"/>
        <v>48.756337251348185</v>
      </c>
      <c r="O26" s="12">
        <f t="shared" si="8"/>
        <v>48.756337251348185</v>
      </c>
    </row>
    <row r="27" spans="1:15" x14ac:dyDescent="0.4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</row>
    <row r="28" spans="1:15" x14ac:dyDescent="0.4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</row>
    <row r="29" spans="1:15" x14ac:dyDescent="0.4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</row>
    <row r="30" spans="1:15" ht="42.3" x14ac:dyDescent="0.45">
      <c r="A30" s="7" t="s">
        <v>56</v>
      </c>
      <c r="B30" s="12">
        <f t="shared" ref="B30:I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>
        <f t="shared" si="9"/>
        <v>-3</v>
      </c>
      <c r="G30" s="71">
        <f t="shared" si="9"/>
        <v>0</v>
      </c>
      <c r="H30" s="71">
        <f t="shared" si="9"/>
        <v>-3</v>
      </c>
      <c r="I30" s="71">
        <f t="shared" si="9"/>
        <v>-3</v>
      </c>
      <c r="J30" s="12">
        <f t="shared" ref="J30:O30" si="10">J31+10*LOG10(J28/J29)-J32</f>
        <v>0</v>
      </c>
      <c r="K30" s="12">
        <f t="shared" si="10"/>
        <v>-3</v>
      </c>
      <c r="L30" s="12">
        <f t="shared" si="10"/>
        <v>-3</v>
      </c>
      <c r="M30" s="12">
        <f t="shared" si="10"/>
        <v>0</v>
      </c>
      <c r="N30" s="12">
        <f t="shared" si="10"/>
        <v>-3</v>
      </c>
      <c r="O30" s="12">
        <f t="shared" si="10"/>
        <v>-3</v>
      </c>
    </row>
    <row r="31" spans="1:15" x14ac:dyDescent="0.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</row>
    <row r="32" spans="1:15" ht="42.3" x14ac:dyDescent="0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ht="27.6" x14ac:dyDescent="0.4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ht="28.2" x14ac:dyDescent="0.4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</row>
    <row r="35" spans="1:15" x14ac:dyDescent="0.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x14ac:dyDescent="0.4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</row>
    <row r="38" spans="1:15" x14ac:dyDescent="0.4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</row>
    <row r="39" spans="1:15" ht="28.2" x14ac:dyDescent="0.4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</row>
    <row r="40" spans="1:15" ht="28.2" x14ac:dyDescent="0.45">
      <c r="A40" s="7" t="s">
        <v>107</v>
      </c>
      <c r="B40" s="12">
        <f t="shared" ref="B40:I40" si="11">10*LOG10(10^((B35+B36)/10)+10^(B38/10))</f>
        <v>-167.00000000000003</v>
      </c>
      <c r="C40" s="12">
        <f t="shared" si="11"/>
        <v>-167.00000000000003</v>
      </c>
      <c r="D40" s="12">
        <f t="shared" si="11"/>
        <v>-167.00000000000003</v>
      </c>
      <c r="E40" s="12">
        <f t="shared" si="11"/>
        <v>-167.00000000000003</v>
      </c>
      <c r="F40" s="12">
        <f t="shared" si="11"/>
        <v>-167.00000000000003</v>
      </c>
      <c r="G40" s="71">
        <f t="shared" si="11"/>
        <v>-167.00000000000003</v>
      </c>
      <c r="H40" s="71">
        <f t="shared" si="11"/>
        <v>-167.00000000000003</v>
      </c>
      <c r="I40" s="71">
        <f t="shared" si="11"/>
        <v>-167.00000000000003</v>
      </c>
      <c r="J40" s="12">
        <f t="shared" ref="J40:O40" si="12">10*LOG10(10^((J35+J36)/10)+10^(J38/10))</f>
        <v>-167.00000000000003</v>
      </c>
      <c r="K40" s="12">
        <f t="shared" si="12"/>
        <v>-167.00000000000003</v>
      </c>
      <c r="L40" s="12">
        <f t="shared" si="12"/>
        <v>-167.00000000000003</v>
      </c>
      <c r="M40" s="12">
        <f t="shared" si="12"/>
        <v>-164.98918835931039</v>
      </c>
      <c r="N40" s="12">
        <f t="shared" si="12"/>
        <v>-164.98918835931039</v>
      </c>
      <c r="O40" s="12">
        <f t="shared" si="12"/>
        <v>-164.98918835931039</v>
      </c>
    </row>
    <row r="41" spans="1:15" x14ac:dyDescent="0.4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</row>
    <row r="42" spans="1:15" x14ac:dyDescent="0.4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13">3*360*1000</f>
        <v>1080000</v>
      </c>
      <c r="I42" s="74">
        <f t="shared" si="13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14">4*360*1000</f>
        <v>1440000</v>
      </c>
      <c r="O42" s="16">
        <f t="shared" si="14"/>
        <v>1440000</v>
      </c>
    </row>
    <row r="43" spans="1:15" x14ac:dyDescent="0.4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</row>
    <row r="44" spans="1:15" x14ac:dyDescent="0.45">
      <c r="A44" s="7" t="s">
        <v>72</v>
      </c>
      <c r="B44" s="12">
        <f t="shared" ref="B44:I44" si="15">B40+10*LOG10(B42)</f>
        <v>-105.41637507904753</v>
      </c>
      <c r="C44" s="12">
        <f t="shared" si="15"/>
        <v>-105.41637507904753</v>
      </c>
      <c r="D44" s="12">
        <f t="shared" si="15"/>
        <v>-105.41637507904753</v>
      </c>
      <c r="E44" s="12">
        <f t="shared" si="15"/>
        <v>-106.66576244513053</v>
      </c>
      <c r="F44" s="12">
        <f t="shared" si="15"/>
        <v>-106.66576244513053</v>
      </c>
      <c r="G44" s="71">
        <f t="shared" si="15"/>
        <v>-106.66576244513053</v>
      </c>
      <c r="H44" s="71">
        <f t="shared" si="15"/>
        <v>-106.66576244513053</v>
      </c>
      <c r="I44" s="71">
        <f t="shared" si="15"/>
        <v>-106.66576244513053</v>
      </c>
      <c r="J44" s="12">
        <f t="shared" ref="J44:O44" si="16">J40+10*LOG10(J42)</f>
        <v>-105.41637507904753</v>
      </c>
      <c r="K44" s="12">
        <f t="shared" si="16"/>
        <v>-105.41637507904753</v>
      </c>
      <c r="L44" s="12">
        <f t="shared" si="16"/>
        <v>-105.41637507904753</v>
      </c>
      <c r="M44" s="12">
        <f t="shared" si="16"/>
        <v>-103.40556343835789</v>
      </c>
      <c r="N44" s="12">
        <f t="shared" si="16"/>
        <v>-103.40556343835789</v>
      </c>
      <c r="O44" s="12">
        <f t="shared" si="16"/>
        <v>-103.40556343835789</v>
      </c>
    </row>
    <row r="45" spans="1:15" x14ac:dyDescent="0.4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</row>
    <row r="46" spans="1:15" x14ac:dyDescent="0.4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</row>
    <row r="47" spans="1:15" x14ac:dyDescent="0.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</row>
    <row r="48" spans="1:15" ht="28.2" x14ac:dyDescent="0.4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</row>
    <row r="49" spans="1:15" ht="33.75" customHeight="1" x14ac:dyDescent="0.4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.2" x14ac:dyDescent="0.4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</row>
    <row r="51" spans="1:15" ht="28.2" x14ac:dyDescent="0.45">
      <c r="A51" s="7" t="s">
        <v>82</v>
      </c>
      <c r="B51" s="12">
        <f t="shared" ref="B51:I51" si="17">B44+B46+B47-B49</f>
        <v>-110.91637507904753</v>
      </c>
      <c r="C51" s="12">
        <f t="shared" si="17"/>
        <v>-107.41637507904753</v>
      </c>
      <c r="D51" s="12">
        <f t="shared" si="17"/>
        <v>-102.21637507904752</v>
      </c>
      <c r="E51" s="12">
        <f t="shared" si="17"/>
        <v>-116.89576244513053</v>
      </c>
      <c r="F51" s="12">
        <f t="shared" si="17"/>
        <v>-113.18576244513052</v>
      </c>
      <c r="G51" s="71">
        <f t="shared" si="17"/>
        <v>-112.09576244513053</v>
      </c>
      <c r="H51" s="71">
        <f t="shared" si="17"/>
        <v>-108.11576244513053</v>
      </c>
      <c r="I51" s="71">
        <f t="shared" si="17"/>
        <v>-102.08576244513053</v>
      </c>
      <c r="J51" s="12">
        <f t="shared" ref="J51:O51" si="18">J44+J46+J47-J49</f>
        <v>-110.11637507904753</v>
      </c>
      <c r="K51" s="12">
        <f t="shared" si="18"/>
        <v>-105.34637507904753</v>
      </c>
      <c r="L51" s="12">
        <f t="shared" si="18"/>
        <v>-99.216375079047523</v>
      </c>
      <c r="M51" s="12">
        <f t="shared" si="18"/>
        <v>-109.38556343835789</v>
      </c>
      <c r="N51" s="12">
        <f t="shared" si="18"/>
        <v>-104.84556343835789</v>
      </c>
      <c r="O51" s="12">
        <f t="shared" si="18"/>
        <v>-99.905563438357888</v>
      </c>
    </row>
    <row r="52" spans="1:15" ht="28.2" x14ac:dyDescent="0.4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</row>
    <row r="53" spans="1:15" ht="28.2" x14ac:dyDescent="0.45">
      <c r="A53" s="29" t="s">
        <v>85</v>
      </c>
      <c r="B53" s="22">
        <f t="shared" ref="B53:G53" si="19">B26+B30+B33-B34-B51</f>
        <v>162.27121254719665</v>
      </c>
      <c r="C53" s="22">
        <f t="shared" si="19"/>
        <v>155.77121254719665</v>
      </c>
      <c r="D53" s="22">
        <f t="shared" si="19"/>
        <v>150.57121254719664</v>
      </c>
      <c r="E53" s="22">
        <f t="shared" si="19"/>
        <v>157.66121254719664</v>
      </c>
      <c r="F53" s="22">
        <f t="shared" si="19"/>
        <v>150.95121254719663</v>
      </c>
      <c r="G53" s="76">
        <f t="shared" si="19"/>
        <v>162.20121254719666</v>
      </c>
      <c r="H53" s="76">
        <f t="shared" ref="H53:I53" si="20">H26+H30+H33-H34-H51</f>
        <v>155.22121254719664</v>
      </c>
      <c r="I53" s="76">
        <f t="shared" si="20"/>
        <v>149.19121254719664</v>
      </c>
      <c r="J53" s="22">
        <f>J26+J30+J33-J34-J51</f>
        <v>161.47121254719664</v>
      </c>
      <c r="K53" s="22">
        <f t="shared" ref="K53:L53" si="21">K26+K30+K33-K34-K51</f>
        <v>153.70121254719666</v>
      </c>
      <c r="L53" s="22">
        <f t="shared" si="21"/>
        <v>147.57121254719664</v>
      </c>
      <c r="M53" s="22">
        <f>M26+M30+M33-M34-M51</f>
        <v>157.14190068970606</v>
      </c>
      <c r="N53" s="22">
        <f t="shared" ref="N53:O53" si="22">N26+N30+N33-N34-N51</f>
        <v>149.60190068970607</v>
      </c>
      <c r="O53" s="22">
        <f t="shared" si="22"/>
        <v>144.66190068970607</v>
      </c>
    </row>
    <row r="54" spans="1:15" x14ac:dyDescent="0.4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</row>
    <row r="55" spans="1:15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28.2" x14ac:dyDescent="0.4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</row>
    <row r="57" spans="1:15" ht="28.2" x14ac:dyDescent="0.4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</row>
    <row r="58" spans="1:15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28.2" x14ac:dyDescent="0.4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</row>
    <row r="62" spans="1:15" ht="28.2" x14ac:dyDescent="0.45">
      <c r="A62" s="29" t="s">
        <v>109</v>
      </c>
      <c r="B62" s="22">
        <f t="shared" ref="B62:G62" si="23">B53-B57+B58-B59+B60</f>
        <v>131.54121254719666</v>
      </c>
      <c r="C62" s="22">
        <f t="shared" si="23"/>
        <v>125.04121254719666</v>
      </c>
      <c r="D62" s="22">
        <f t="shared" si="23"/>
        <v>119.84121254719665</v>
      </c>
      <c r="E62" s="22">
        <f t="shared" si="23"/>
        <v>126.93121254719665</v>
      </c>
      <c r="F62" s="22">
        <f t="shared" si="23"/>
        <v>120.22121254719664</v>
      </c>
      <c r="G62" s="76">
        <f t="shared" si="23"/>
        <v>131.47121254719667</v>
      </c>
      <c r="H62" s="76">
        <f t="shared" ref="H62:I62" si="24">H53-H57+H58-H59+H60</f>
        <v>124.49121254719665</v>
      </c>
      <c r="I62" s="76">
        <f t="shared" si="24"/>
        <v>118.46121254719665</v>
      </c>
      <c r="J62" s="22">
        <f>J53-J57+J58-J59+J60</f>
        <v>130.74121254719665</v>
      </c>
      <c r="K62" s="22">
        <f t="shared" ref="K62:L62" si="25">K53-K57+K58-K59+K60</f>
        <v>122.97121254719667</v>
      </c>
      <c r="L62" s="22">
        <f t="shared" si="25"/>
        <v>116.84121254719665</v>
      </c>
      <c r="M62" s="22">
        <f>M53-M57+M58-M59+M60</f>
        <v>126.41190068970607</v>
      </c>
      <c r="N62" s="22">
        <f t="shared" ref="N62:O62" si="26">N53-N57+N58-N59+N60</f>
        <v>118.87190068970608</v>
      </c>
      <c r="O62" s="22">
        <f t="shared" si="26"/>
        <v>113.93190068970608</v>
      </c>
    </row>
    <row r="63" spans="1:15" x14ac:dyDescent="0.45">
      <c r="C63" s="2"/>
      <c r="D63" s="2"/>
      <c r="F63" s="2"/>
      <c r="H63" s="79"/>
      <c r="I63" s="79"/>
      <c r="K63" s="79"/>
      <c r="L63" s="79"/>
      <c r="M63" s="2"/>
      <c r="N63" s="2"/>
      <c r="O63" s="2"/>
    </row>
    <row r="64" spans="1:15" x14ac:dyDescent="0.4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</row>
    <row r="65" spans="1:15" x14ac:dyDescent="0.45">
      <c r="A65" s="29" t="s">
        <v>98</v>
      </c>
      <c r="B65" s="22">
        <f t="shared" ref="B65:I65" si="27">B17-B23-B51+B21+B33</f>
        <v>153.50000000000003</v>
      </c>
      <c r="C65" s="22">
        <f t="shared" si="27"/>
        <v>150.00000000000003</v>
      </c>
      <c r="D65" s="22">
        <f t="shared" si="27"/>
        <v>144.80000000000001</v>
      </c>
      <c r="E65" s="22">
        <f t="shared" si="27"/>
        <v>151.84000000000003</v>
      </c>
      <c r="F65" s="22">
        <f t="shared" si="27"/>
        <v>148.13000000000002</v>
      </c>
      <c r="G65" s="76">
        <f t="shared" si="27"/>
        <v>153.43000000000004</v>
      </c>
      <c r="H65" s="76">
        <f t="shared" si="27"/>
        <v>149.45000000000002</v>
      </c>
      <c r="I65" s="76">
        <f t="shared" si="27"/>
        <v>143.42000000000002</v>
      </c>
      <c r="J65" s="22">
        <f t="shared" ref="J65:O65" si="28">J17-J23-J51+J21+J33</f>
        <v>152.70000000000002</v>
      </c>
      <c r="K65" s="22">
        <f t="shared" si="28"/>
        <v>147.93000000000004</v>
      </c>
      <c r="L65" s="22">
        <f t="shared" si="28"/>
        <v>141.80000000000001</v>
      </c>
      <c r="M65" s="22">
        <f t="shared" si="28"/>
        <v>151.02068814250944</v>
      </c>
      <c r="N65" s="22">
        <f t="shared" si="28"/>
        <v>146.48068814250945</v>
      </c>
      <c r="O65" s="22">
        <f t="shared" si="28"/>
        <v>141.54068814250945</v>
      </c>
    </row>
  </sheetData>
  <mergeCells count="5"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65"/>
  <sheetViews>
    <sheetView zoomScale="55" zoomScaleNormal="55" workbookViewId="0">
      <pane xSplit="1" ySplit="1" topLeftCell="B42" activePane="bottomRight" state="frozen"/>
      <selection pane="topRight"/>
      <selection pane="bottomLeft"/>
      <selection pane="bottomRight" activeCell="M1" sqref="M1:O65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384" width="9" style="1"/>
  </cols>
  <sheetData>
    <row r="1" spans="1:15" ht="14.25" customHeight="1" x14ac:dyDescent="0.45">
      <c r="A1" s="3"/>
      <c r="B1" s="89" t="s">
        <v>100</v>
      </c>
      <c r="C1" s="89"/>
      <c r="D1" s="89"/>
      <c r="E1" s="89" t="s">
        <v>101</v>
      </c>
      <c r="F1" s="89"/>
      <c r="G1" s="90" t="s">
        <v>113</v>
      </c>
      <c r="H1" s="90"/>
      <c r="I1" s="90"/>
      <c r="J1" s="89" t="s">
        <v>114</v>
      </c>
      <c r="K1" s="89"/>
      <c r="L1" s="89"/>
      <c r="M1" s="89" t="s">
        <v>121</v>
      </c>
      <c r="N1" s="89"/>
      <c r="O1" s="89"/>
    </row>
    <row r="2" spans="1:15" ht="29.25" customHeight="1" x14ac:dyDescent="0.45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</row>
    <row r="3" spans="1:15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</row>
    <row r="4" spans="1:15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</row>
    <row r="6" spans="1:15" x14ac:dyDescent="0.4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</row>
    <row r="7" spans="1:15" x14ac:dyDescent="0.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</row>
    <row r="8" spans="1:15" x14ac:dyDescent="0.4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</row>
    <row r="9" spans="1:15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 x14ac:dyDescent="0.45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</row>
    <row r="12" spans="1:15" ht="15" customHeight="1" x14ac:dyDescent="0.45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</row>
    <row r="13" spans="1:15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</row>
    <row r="14" spans="1:15" x14ac:dyDescent="0.4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</row>
    <row r="15" spans="1:15" x14ac:dyDescent="0.4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</row>
    <row r="16" spans="1:15" x14ac:dyDescent="0.4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</row>
    <row r="17" spans="1:15" ht="28.2" x14ac:dyDescent="0.45">
      <c r="A17" s="7" t="s">
        <v>35</v>
      </c>
      <c r="B17" s="12">
        <f t="shared" ref="B17:I17" si="2">B15+10*LOG10(B42/1000000)</f>
        <v>44.126050015345747</v>
      </c>
      <c r="C17" s="12">
        <f t="shared" si="2"/>
        <v>44.126050015345747</v>
      </c>
      <c r="D17" s="12">
        <f t="shared" si="2"/>
        <v>44.126050015345747</v>
      </c>
      <c r="E17" s="12">
        <f t="shared" si="2"/>
        <v>44.245042248342827</v>
      </c>
      <c r="F17" s="12">
        <f t="shared" si="2"/>
        <v>44.245042248342827</v>
      </c>
      <c r="G17" s="71">
        <f t="shared" si="2"/>
        <v>44.126050015345747</v>
      </c>
      <c r="H17" s="71">
        <f t="shared" si="2"/>
        <v>44.126050015345747</v>
      </c>
      <c r="I17" s="71">
        <f t="shared" si="2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3">M15+10*LOG10(M42/1000000)</f>
        <v>45.09515014542631</v>
      </c>
      <c r="N17" s="12">
        <f t="shared" si="3"/>
        <v>45.09515014542631</v>
      </c>
      <c r="O17" s="12">
        <f t="shared" si="3"/>
        <v>45.09515014542631</v>
      </c>
    </row>
    <row r="18" spans="1:15" ht="42.3" x14ac:dyDescent="0.45">
      <c r="A18" s="14" t="s">
        <v>37</v>
      </c>
      <c r="B18" s="12">
        <f t="shared" ref="B18:I18" si="4">B19+10*LOG10(B12/B13)-B20</f>
        <v>12.771212547196624</v>
      </c>
      <c r="C18" s="12">
        <f t="shared" si="4"/>
        <v>12.771212547196624</v>
      </c>
      <c r="D18" s="12">
        <f t="shared" si="4"/>
        <v>12.771212547196624</v>
      </c>
      <c r="E18" s="12">
        <f t="shared" si="4"/>
        <v>9.8212125471966232</v>
      </c>
      <c r="F18" s="12">
        <f t="shared" si="4"/>
        <v>9.8212125471966232</v>
      </c>
      <c r="G18" s="71">
        <f t="shared" si="4"/>
        <v>12.771212547196624</v>
      </c>
      <c r="H18" s="71">
        <f t="shared" si="4"/>
        <v>12.771212547196624</v>
      </c>
      <c r="I18" s="71">
        <f t="shared" si="4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5">M19+10*LOG10(M12/M13)-M20</f>
        <v>10.121212547196624</v>
      </c>
      <c r="N18" s="12">
        <f t="shared" si="5"/>
        <v>10.121212547196624</v>
      </c>
      <c r="O18" s="12">
        <f t="shared" si="5"/>
        <v>10.121212547196624</v>
      </c>
    </row>
    <row r="19" spans="1:15" x14ac:dyDescent="0.4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</row>
    <row r="20" spans="1:15" ht="42.3" x14ac:dyDescent="0.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</row>
    <row r="21" spans="1:15" ht="61.5" customHeight="1" x14ac:dyDescent="0.45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6">10*LOG10(N13/N14)-8</f>
        <v>7.0514997831990609</v>
      </c>
      <c r="O21" s="16">
        <f t="shared" si="6"/>
        <v>7.0514997831990609</v>
      </c>
    </row>
    <row r="22" spans="1:15" x14ac:dyDescent="0.4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x14ac:dyDescent="0.4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28.2" x14ac:dyDescent="0.4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</row>
    <row r="25" spans="1:15" x14ac:dyDescent="0.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</row>
    <row r="26" spans="1:15" x14ac:dyDescent="0.45">
      <c r="A26" s="7" t="s">
        <v>51</v>
      </c>
      <c r="B26" s="12">
        <f t="shared" ref="B26:I26" si="7">B17+B18+B21-B23-B24</f>
        <v>61.89726256254238</v>
      </c>
      <c r="C26" s="12">
        <f t="shared" si="7"/>
        <v>61.89726256254238</v>
      </c>
      <c r="D26" s="12">
        <f t="shared" si="7"/>
        <v>61.89726256254238</v>
      </c>
      <c r="E26" s="12">
        <f t="shared" si="7"/>
        <v>52.67625479553945</v>
      </c>
      <c r="F26" s="12">
        <f t="shared" si="7"/>
        <v>52.67625479553945</v>
      </c>
      <c r="G26" s="71">
        <f t="shared" si="7"/>
        <v>61.89726256254238</v>
      </c>
      <c r="H26" s="71">
        <f t="shared" si="7"/>
        <v>61.89726256254238</v>
      </c>
      <c r="I26" s="71">
        <f t="shared" si="7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8">M17+M18+M21-M23-M24</f>
        <v>59.267862475822</v>
      </c>
      <c r="N26" s="12">
        <f t="shared" si="8"/>
        <v>59.267862475822</v>
      </c>
      <c r="O26" s="12">
        <f t="shared" si="8"/>
        <v>59.267862475822</v>
      </c>
    </row>
    <row r="27" spans="1:15" x14ac:dyDescent="0.45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</row>
    <row r="28" spans="1:15" x14ac:dyDescent="0.4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</row>
    <row r="29" spans="1:15" x14ac:dyDescent="0.4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</row>
    <row r="30" spans="1:15" ht="42.3" x14ac:dyDescent="0.45">
      <c r="A30" s="7" t="s">
        <v>56</v>
      </c>
      <c r="B30" s="12">
        <f t="shared" ref="B30:I30" si="9">B31+10*LOG10(B28/B29)-B32</f>
        <v>0</v>
      </c>
      <c r="C30" s="12">
        <f t="shared" si="9"/>
        <v>-3</v>
      </c>
      <c r="D30" s="12">
        <f t="shared" si="9"/>
        <v>-3</v>
      </c>
      <c r="E30" s="12">
        <f t="shared" si="9"/>
        <v>0</v>
      </c>
      <c r="F30" s="12">
        <f t="shared" si="9"/>
        <v>-3</v>
      </c>
      <c r="G30" s="71">
        <f t="shared" si="9"/>
        <v>0</v>
      </c>
      <c r="H30" s="71">
        <f t="shared" si="9"/>
        <v>-3</v>
      </c>
      <c r="I30" s="71">
        <f t="shared" si="9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0">M31+10*LOG10(M28/M29)-M32</f>
        <v>0</v>
      </c>
      <c r="N30" s="12">
        <f t="shared" si="10"/>
        <v>-3</v>
      </c>
      <c r="O30" s="12">
        <f t="shared" si="10"/>
        <v>-3</v>
      </c>
    </row>
    <row r="31" spans="1:15" x14ac:dyDescent="0.4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</row>
    <row r="32" spans="1:15" ht="42.3" x14ac:dyDescent="0.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ht="27.6" x14ac:dyDescent="0.4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ht="28.2" x14ac:dyDescent="0.4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</row>
    <row r="35" spans="1:15" x14ac:dyDescent="0.4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 x14ac:dyDescent="0.4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x14ac:dyDescent="0.4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</row>
    <row r="38" spans="1:15" x14ac:dyDescent="0.4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</row>
    <row r="39" spans="1:15" ht="28.2" x14ac:dyDescent="0.45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</row>
    <row r="40" spans="1:15" ht="28.2" x14ac:dyDescent="0.45">
      <c r="A40" s="7" t="s">
        <v>107</v>
      </c>
      <c r="B40" s="12">
        <f t="shared" ref="B40:I40" si="11">10*LOG10(10^((B35+B36)/10)+10^(B38/10))</f>
        <v>-167.00000000000003</v>
      </c>
      <c r="C40" s="12">
        <f t="shared" si="11"/>
        <v>-167.00000000000003</v>
      </c>
      <c r="D40" s="12">
        <f t="shared" si="11"/>
        <v>-167.00000000000003</v>
      </c>
      <c r="E40" s="12">
        <f t="shared" si="11"/>
        <v>-167.00000000000003</v>
      </c>
      <c r="F40" s="12">
        <f t="shared" si="11"/>
        <v>-167.00000000000003</v>
      </c>
      <c r="G40" s="71">
        <f t="shared" si="11"/>
        <v>-167.00000000000003</v>
      </c>
      <c r="H40" s="71">
        <f t="shared" si="11"/>
        <v>-167.00000000000003</v>
      </c>
      <c r="I40" s="71">
        <f t="shared" si="1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12">10*LOG10(10^((M35+M36)/10)+10^(M38/10))</f>
        <v>-164.98918835931039</v>
      </c>
      <c r="N40" s="12">
        <f t="shared" si="12"/>
        <v>-164.98918835931039</v>
      </c>
      <c r="O40" s="12">
        <f t="shared" si="12"/>
        <v>-164.98918835931039</v>
      </c>
    </row>
    <row r="41" spans="1:15" x14ac:dyDescent="0.4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</row>
    <row r="42" spans="1:15" x14ac:dyDescent="0.4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13">36*360*1000</f>
        <v>12960000</v>
      </c>
      <c r="I42" s="74">
        <f t="shared" si="13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14">45*360*1000</f>
        <v>16200000</v>
      </c>
      <c r="O42" s="16">
        <f t="shared" si="14"/>
        <v>16200000</v>
      </c>
    </row>
    <row r="43" spans="1:15" x14ac:dyDescent="0.4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</row>
    <row r="44" spans="1:15" x14ac:dyDescent="0.45">
      <c r="A44" s="7" t="s">
        <v>72</v>
      </c>
      <c r="B44" s="12">
        <f t="shared" ref="B44:I44" si="15">B40+10*LOG10(B42)</f>
        <v>-95.873949984654288</v>
      </c>
      <c r="C44" s="12">
        <f t="shared" si="15"/>
        <v>-95.873949984654288</v>
      </c>
      <c r="D44" s="12">
        <f t="shared" si="15"/>
        <v>-95.873949984654288</v>
      </c>
      <c r="E44" s="12">
        <f t="shared" si="15"/>
        <v>-95.754957751657201</v>
      </c>
      <c r="F44" s="12">
        <f t="shared" si="15"/>
        <v>-95.754957751657201</v>
      </c>
      <c r="G44" s="71">
        <f t="shared" si="15"/>
        <v>-95.873949984654288</v>
      </c>
      <c r="H44" s="71">
        <f t="shared" si="15"/>
        <v>-95.873949984654288</v>
      </c>
      <c r="I44" s="71">
        <f t="shared" si="15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16">M40+10*LOG10(M42)</f>
        <v>-92.894038213884087</v>
      </c>
      <c r="N44" s="12">
        <f t="shared" si="16"/>
        <v>-92.894038213884087</v>
      </c>
      <c r="O44" s="12">
        <f t="shared" si="16"/>
        <v>-92.894038213884087</v>
      </c>
    </row>
    <row r="45" spans="1:15" x14ac:dyDescent="0.4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</row>
    <row r="46" spans="1:15" x14ac:dyDescent="0.4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</row>
    <row r="47" spans="1:15" x14ac:dyDescent="0.4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</row>
    <row r="48" spans="1:15" ht="28.2" x14ac:dyDescent="0.4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</row>
    <row r="49" spans="1:15" ht="33.75" customHeight="1" x14ac:dyDescent="0.4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28.2" x14ac:dyDescent="0.4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</row>
    <row r="51" spans="1:15" ht="28.2" x14ac:dyDescent="0.45">
      <c r="A51" s="7" t="s">
        <v>82</v>
      </c>
      <c r="B51" s="12">
        <f t="shared" ref="B51:I51" si="17">B44+B46+B47-B49</f>
        <v>-101.47394998465428</v>
      </c>
      <c r="C51" s="12">
        <f t="shared" si="17"/>
        <v>-98.773949984654294</v>
      </c>
      <c r="D51" s="12">
        <f t="shared" si="17"/>
        <v>-95.273949984654294</v>
      </c>
      <c r="E51" s="12">
        <f t="shared" si="17"/>
        <v>-106.29495775165719</v>
      </c>
      <c r="F51" s="12">
        <f t="shared" si="17"/>
        <v>-102.73495775165721</v>
      </c>
      <c r="G51" s="71">
        <f t="shared" si="17"/>
        <v>-104.34394998465429</v>
      </c>
      <c r="H51" s="71">
        <f t="shared" si="17"/>
        <v>-101.05394998465428</v>
      </c>
      <c r="I51" s="71">
        <f t="shared" si="17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18">M44+M46+M47-M49</f>
        <v>-100.37403821388409</v>
      </c>
      <c r="N51" s="12">
        <f t="shared" si="18"/>
        <v>-96.164038213884083</v>
      </c>
      <c r="O51" s="12">
        <f t="shared" si="18"/>
        <v>-91.504038213884087</v>
      </c>
    </row>
    <row r="52" spans="1:15" ht="28.2" x14ac:dyDescent="0.45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</row>
    <row r="53" spans="1:15" ht="28.2" x14ac:dyDescent="0.45">
      <c r="A53" s="29" t="s">
        <v>85</v>
      </c>
      <c r="B53" s="22">
        <f t="shared" ref="B53:G53" si="19">B26+B30+B33-B34-B51</f>
        <v>162.37121254719665</v>
      </c>
      <c r="C53" s="22">
        <f t="shared" si="19"/>
        <v>156.67121254719666</v>
      </c>
      <c r="D53" s="22">
        <f t="shared" si="19"/>
        <v>153.17121254719666</v>
      </c>
      <c r="E53" s="22">
        <f t="shared" si="19"/>
        <v>157.97121254719664</v>
      </c>
      <c r="F53" s="22">
        <f t="shared" si="19"/>
        <v>151.41121254719667</v>
      </c>
      <c r="G53" s="76">
        <f t="shared" si="19"/>
        <v>165.24121254719665</v>
      </c>
      <c r="H53" s="76">
        <f t="shared" ref="H53:I53" si="20">H26+H30+H33-H34-H51</f>
        <v>158.95121254719666</v>
      </c>
      <c r="I53" s="76">
        <f t="shared" si="20"/>
        <v>155.05121254719666</v>
      </c>
      <c r="J53" s="22">
        <f>J26+J30+J33-J34-J51</f>
        <v>163.77121254719668</v>
      </c>
      <c r="K53" s="22">
        <f t="shared" ref="K53:O53" si="21">K26+K30+K33-K34-K51</f>
        <v>157.37121254719665</v>
      </c>
      <c r="L53" s="22">
        <f t="shared" si="21"/>
        <v>153.97121254719667</v>
      </c>
      <c r="M53" s="22">
        <f t="shared" si="21"/>
        <v>158.64190068970609</v>
      </c>
      <c r="N53" s="22">
        <f t="shared" si="21"/>
        <v>151.43190068970608</v>
      </c>
      <c r="O53" s="22">
        <f t="shared" si="21"/>
        <v>146.77190068970609</v>
      </c>
    </row>
    <row r="54" spans="1:15" x14ac:dyDescent="0.45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</row>
    <row r="55" spans="1:15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28.2" x14ac:dyDescent="0.45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</row>
    <row r="57" spans="1:15" ht="28.2" x14ac:dyDescent="0.4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</row>
    <row r="58" spans="1:15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28.2" x14ac:dyDescent="0.4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</row>
    <row r="62" spans="1:15" ht="28.2" x14ac:dyDescent="0.45">
      <c r="A62" s="29" t="s">
        <v>109</v>
      </c>
      <c r="B62" s="22">
        <f t="shared" ref="B62:G62" si="22">B53-B57+B58-B59+B60</f>
        <v>131.64121254719666</v>
      </c>
      <c r="C62" s="22">
        <f t="shared" si="22"/>
        <v>125.94121254719667</v>
      </c>
      <c r="D62" s="22">
        <f t="shared" si="22"/>
        <v>122.44121254719667</v>
      </c>
      <c r="E62" s="22">
        <f t="shared" si="22"/>
        <v>127.24121254719665</v>
      </c>
      <c r="F62" s="22">
        <f t="shared" si="22"/>
        <v>120.68121254719668</v>
      </c>
      <c r="G62" s="76">
        <f t="shared" si="22"/>
        <v>134.51121254719666</v>
      </c>
      <c r="H62" s="76">
        <f t="shared" ref="H62:I62" si="23">H53-H57+H58-H59+H60</f>
        <v>128.22121254719667</v>
      </c>
      <c r="I62" s="76">
        <f t="shared" si="23"/>
        <v>124.32121254719667</v>
      </c>
      <c r="J62" s="22">
        <f>J53-J57+J58-J59+J60</f>
        <v>133.04121254719669</v>
      </c>
      <c r="K62" s="22">
        <f t="shared" ref="K62:O62" si="24">K53-K57+K58-K59+K60</f>
        <v>126.64121254719666</v>
      </c>
      <c r="L62" s="22">
        <f t="shared" si="24"/>
        <v>123.24121254719668</v>
      </c>
      <c r="M62" s="22">
        <f t="shared" si="24"/>
        <v>127.9119006897061</v>
      </c>
      <c r="N62" s="22">
        <f t="shared" si="24"/>
        <v>120.70190068970609</v>
      </c>
      <c r="O62" s="22">
        <f t="shared" si="24"/>
        <v>116.0419006897061</v>
      </c>
    </row>
    <row r="63" spans="1:15" x14ac:dyDescent="0.45">
      <c r="C63" s="2"/>
      <c r="D63" s="2"/>
      <c r="F63" s="2"/>
      <c r="H63" s="79"/>
      <c r="I63" s="79"/>
      <c r="K63" s="79"/>
      <c r="L63" s="79"/>
      <c r="M63" s="2"/>
      <c r="N63" s="2"/>
      <c r="O63" s="2"/>
    </row>
    <row r="64" spans="1:15" x14ac:dyDescent="0.4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</row>
    <row r="65" spans="1:15" x14ac:dyDescent="0.45">
      <c r="A65" s="29" t="s">
        <v>98</v>
      </c>
      <c r="B65" s="22">
        <f t="shared" ref="B65:I65" si="25">B17-B23-B51+B21+B33</f>
        <v>153.60000000000002</v>
      </c>
      <c r="C65" s="22">
        <f t="shared" si="25"/>
        <v>150.90000000000003</v>
      </c>
      <c r="D65" s="22">
        <f t="shared" si="25"/>
        <v>147.40000000000003</v>
      </c>
      <c r="E65" s="22">
        <f t="shared" si="25"/>
        <v>152.15000000000003</v>
      </c>
      <c r="F65" s="22">
        <f t="shared" si="25"/>
        <v>148.59000000000003</v>
      </c>
      <c r="G65" s="76">
        <f t="shared" si="25"/>
        <v>156.47000000000003</v>
      </c>
      <c r="H65" s="76">
        <f t="shared" si="25"/>
        <v>153.18000000000004</v>
      </c>
      <c r="I65" s="76">
        <f t="shared" si="25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26">M17-M23-M51+M21+M33</f>
        <v>152.52068814250947</v>
      </c>
      <c r="N65" s="22">
        <f t="shared" si="26"/>
        <v>148.31068814250946</v>
      </c>
      <c r="O65" s="22">
        <f t="shared" si="26"/>
        <v>143.65068814250947</v>
      </c>
    </row>
  </sheetData>
  <mergeCells count="5"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5"/>
  <sheetViews>
    <sheetView zoomScale="55" zoomScaleNormal="55" workbookViewId="0">
      <pane xSplit="1" ySplit="1" topLeftCell="B35" activePane="bottomRight" state="frozen"/>
      <selection pane="topRight"/>
      <selection pane="bottomLeft"/>
      <selection pane="bottomRight" activeCell="H71" sqref="H71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6384" width="9" style="1"/>
  </cols>
  <sheetData>
    <row r="1" spans="1:11" ht="14.25" customHeight="1" x14ac:dyDescent="0.45">
      <c r="A1" s="3"/>
      <c r="B1" s="89" t="s">
        <v>100</v>
      </c>
      <c r="C1" s="89"/>
      <c r="D1" s="89" t="s">
        <v>101</v>
      </c>
      <c r="E1" s="89"/>
      <c r="F1" s="90" t="s">
        <v>113</v>
      </c>
      <c r="G1" s="90"/>
      <c r="H1" s="89" t="s">
        <v>114</v>
      </c>
      <c r="I1" s="89"/>
      <c r="J1" s="89" t="s">
        <v>120</v>
      </c>
      <c r="K1" s="89"/>
    </row>
    <row r="2" spans="1:11" ht="29.25" customHeight="1" x14ac:dyDescent="0.45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</row>
    <row r="3" spans="1:11" x14ac:dyDescent="0.4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</row>
    <row r="4" spans="1:11" x14ac:dyDescent="0.4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</row>
    <row r="5" spans="1:11" x14ac:dyDescent="0.4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</row>
    <row r="6" spans="1:11" x14ac:dyDescent="0.4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</row>
    <row r="7" spans="1:11" x14ac:dyDescent="0.4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</row>
    <row r="8" spans="1:11" x14ac:dyDescent="0.4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</row>
    <row r="9" spans="1:11" x14ac:dyDescent="0.4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x14ac:dyDescent="0.4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4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</row>
    <row r="12" spans="1:11" ht="15" customHeight="1" x14ac:dyDescent="0.4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4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</row>
    <row r="14" spans="1:11" x14ac:dyDescent="0.4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x14ac:dyDescent="0.4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x14ac:dyDescent="0.4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28.2" x14ac:dyDescent="0.4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2.3" x14ac:dyDescent="0.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</row>
    <row r="19" spans="1:11" x14ac:dyDescent="0.4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2.3" x14ac:dyDescent="0.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45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x14ac:dyDescent="0.4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4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28.2" x14ac:dyDescent="0.4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</row>
    <row r="25" spans="1:11" x14ac:dyDescent="0.4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</row>
    <row r="26" spans="1:11" x14ac:dyDescent="0.45">
      <c r="A26" s="7" t="s">
        <v>51</v>
      </c>
      <c r="B26" s="8">
        <f t="shared" ref="B26:G26" si="2">B17+B18+B21-B23-B24</f>
        <v>22</v>
      </c>
      <c r="C26" s="8">
        <f t="shared" si="2"/>
        <v>19</v>
      </c>
      <c r="D26" s="8">
        <f t="shared" si="2"/>
        <v>22</v>
      </c>
      <c r="E26" s="8">
        <f t="shared" si="2"/>
        <v>19</v>
      </c>
      <c r="F26" s="68">
        <f t="shared" si="2"/>
        <v>22</v>
      </c>
      <c r="G26" s="68">
        <f t="shared" si="2"/>
        <v>19</v>
      </c>
      <c r="H26" s="8">
        <f>H17+H18+H21-H23-H24</f>
        <v>22</v>
      </c>
      <c r="I26" s="8">
        <f>I17+I18+I21-I23-I24</f>
        <v>19</v>
      </c>
      <c r="J26" s="8">
        <f t="shared" ref="J26:K26" si="3">J17+J18+J21-J23-J24</f>
        <v>22</v>
      </c>
      <c r="K26" s="8">
        <f t="shared" si="3"/>
        <v>19</v>
      </c>
    </row>
    <row r="27" spans="1:11" x14ac:dyDescent="0.4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</row>
    <row r="28" spans="1:11" x14ac:dyDescent="0.4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</row>
    <row r="29" spans="1:11" x14ac:dyDescent="0.4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</row>
    <row r="30" spans="1:11" ht="42.3" x14ac:dyDescent="0.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</row>
    <row r="31" spans="1:11" x14ac:dyDescent="0.4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2.3" x14ac:dyDescent="0.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</row>
    <row r="33" spans="1:11" ht="27.6" x14ac:dyDescent="0.4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</row>
    <row r="34" spans="1:11" ht="28.2" x14ac:dyDescent="0.4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</row>
    <row r="35" spans="1:11" x14ac:dyDescent="0.4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</row>
    <row r="36" spans="1:11" x14ac:dyDescent="0.4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</row>
    <row r="37" spans="1:11" x14ac:dyDescent="0.4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</row>
    <row r="38" spans="1:11" x14ac:dyDescent="0.4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</row>
    <row r="39" spans="1:11" ht="28.2" x14ac:dyDescent="0.4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</row>
    <row r="40" spans="1:11" ht="28.2" x14ac:dyDescent="0.45">
      <c r="A40" s="7" t="s">
        <v>107</v>
      </c>
      <c r="B40" s="12">
        <f t="shared" ref="B40:G40" si="6">10*LOG10(10^((B35+B36)/10)+10^(B38/10))</f>
        <v>-169.00000000000003</v>
      </c>
      <c r="C40" s="12">
        <f t="shared" si="6"/>
        <v>-169.00000000000003</v>
      </c>
      <c r="D40" s="12">
        <f t="shared" si="6"/>
        <v>-169.00000000000003</v>
      </c>
      <c r="E40" s="12">
        <f t="shared" si="6"/>
        <v>-169.00000000000003</v>
      </c>
      <c r="F40" s="71">
        <f t="shared" si="6"/>
        <v>-169.00000000000003</v>
      </c>
      <c r="G40" s="71">
        <f t="shared" si="6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7">10*LOG10(10^((J35+J36)/10)+10^(J38/10))</f>
        <v>-164.03352307536667</v>
      </c>
      <c r="K40" s="12">
        <f t="shared" si="7"/>
        <v>-164.03352307536667</v>
      </c>
    </row>
    <row r="41" spans="1:11" x14ac:dyDescent="0.4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</row>
    <row r="42" spans="1:11" x14ac:dyDescent="0.45">
      <c r="A42" s="33" t="s">
        <v>70</v>
      </c>
      <c r="B42" s="12">
        <f t="shared" ref="B42:G42" si="8">2*360*1000</f>
        <v>720000</v>
      </c>
      <c r="C42" s="12">
        <f t="shared" si="8"/>
        <v>720000</v>
      </c>
      <c r="D42" s="12">
        <f t="shared" si="8"/>
        <v>720000</v>
      </c>
      <c r="E42" s="12">
        <f t="shared" si="8"/>
        <v>720000</v>
      </c>
      <c r="F42" s="71">
        <f t="shared" si="8"/>
        <v>720000</v>
      </c>
      <c r="G42" s="71">
        <f t="shared" si="8"/>
        <v>720000</v>
      </c>
      <c r="H42" s="12">
        <f>2*360*1000</f>
        <v>720000</v>
      </c>
      <c r="I42" s="12">
        <f>2*360*1000</f>
        <v>720000</v>
      </c>
      <c r="J42" s="12">
        <f t="shared" ref="J42:K42" si="9">2*360*1000</f>
        <v>720000</v>
      </c>
      <c r="K42" s="12">
        <f t="shared" si="9"/>
        <v>720000</v>
      </c>
    </row>
    <row r="43" spans="1:11" x14ac:dyDescent="0.4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</row>
    <row r="44" spans="1:11" x14ac:dyDescent="0.45">
      <c r="A44" s="7" t="s">
        <v>72</v>
      </c>
      <c r="B44" s="12">
        <f t="shared" ref="B44:G44" si="10">B40+10*LOG10(B42)</f>
        <v>-110.42667503568734</v>
      </c>
      <c r="C44" s="12">
        <f t="shared" si="10"/>
        <v>-110.42667503568734</v>
      </c>
      <c r="D44" s="12">
        <f t="shared" si="10"/>
        <v>-110.42667503568734</v>
      </c>
      <c r="E44" s="12">
        <f t="shared" si="10"/>
        <v>-110.42667503568734</v>
      </c>
      <c r="F44" s="71">
        <f t="shared" si="10"/>
        <v>-110.42667503568734</v>
      </c>
      <c r="G44" s="71">
        <f t="shared" si="10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1">J40+10*LOG10(J42)</f>
        <v>-105.46019811105398</v>
      </c>
      <c r="K44" s="12">
        <f t="shared" si="11"/>
        <v>-105.46019811105398</v>
      </c>
    </row>
    <row r="45" spans="1:11" x14ac:dyDescent="0.4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</row>
    <row r="46" spans="1:11" x14ac:dyDescent="0.4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</row>
    <row r="47" spans="1:11" x14ac:dyDescent="0.4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28.2" x14ac:dyDescent="0.4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</row>
    <row r="49" spans="1:11" ht="33.75" customHeight="1" x14ac:dyDescent="0.4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28.2" x14ac:dyDescent="0.4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</row>
    <row r="51" spans="1:11" ht="28.2" x14ac:dyDescent="0.45">
      <c r="A51" s="7" t="s">
        <v>82</v>
      </c>
      <c r="B51" s="12">
        <f t="shared" ref="B51:G51" si="12">B44+B46+B47-B49</f>
        <v>-110.22667503568734</v>
      </c>
      <c r="C51" s="12">
        <f t="shared" si="12"/>
        <v>-110.22667503568734</v>
      </c>
      <c r="D51" s="12">
        <f t="shared" si="12"/>
        <v>-115.63667503568733</v>
      </c>
      <c r="E51" s="12">
        <f t="shared" si="12"/>
        <v>-115.63667503568733</v>
      </c>
      <c r="F51" s="71">
        <f t="shared" si="12"/>
        <v>-114.93667503568734</v>
      </c>
      <c r="G51" s="71">
        <f t="shared" si="12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3">J44+J46+J47-J49</f>
        <v>-105.68019811105398</v>
      </c>
      <c r="K51" s="12">
        <f t="shared" si="13"/>
        <v>-105.54019811105398</v>
      </c>
    </row>
    <row r="52" spans="1:11" ht="28.2" x14ac:dyDescent="0.45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</row>
    <row r="53" spans="1:11" ht="28.2" x14ac:dyDescent="0.45">
      <c r="A53" s="29" t="s">
        <v>85</v>
      </c>
      <c r="B53" s="22">
        <f t="shared" ref="B53:G53" si="14">B26+B30+B33-B34-B51</f>
        <v>149.99788758288395</v>
      </c>
      <c r="C53" s="22">
        <f t="shared" si="14"/>
        <v>146.99788758288395</v>
      </c>
      <c r="D53" s="22">
        <f t="shared" si="14"/>
        <v>156.49788758288395</v>
      </c>
      <c r="E53" s="22">
        <f t="shared" si="14"/>
        <v>153.49788758288395</v>
      </c>
      <c r="F53" s="76">
        <f t="shared" si="14"/>
        <v>154.70788758288398</v>
      </c>
      <c r="G53" s="76">
        <f t="shared" si="14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15">J26+J30+J33-J34-J51</f>
        <v>152.50291044144967</v>
      </c>
      <c r="K53" s="22">
        <f t="shared" si="15"/>
        <v>149.36291044144969</v>
      </c>
    </row>
    <row r="54" spans="1:11" x14ac:dyDescent="0.4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</row>
    <row r="55" spans="1:11" ht="16.5" customHeight="1" x14ac:dyDescent="0.45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</row>
    <row r="56" spans="1:11" ht="28.2" x14ac:dyDescent="0.45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</row>
    <row r="57" spans="1:11" ht="28.2" x14ac:dyDescent="0.45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</row>
    <row r="58" spans="1:11" x14ac:dyDescent="0.4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</row>
    <row r="59" spans="1:11" x14ac:dyDescent="0.4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</row>
    <row r="60" spans="1:11" x14ac:dyDescent="0.4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</row>
    <row r="61" spans="1:11" ht="28.2" x14ac:dyDescent="0.45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</row>
    <row r="62" spans="1:11" ht="28.2" x14ac:dyDescent="0.45">
      <c r="A62" s="29" t="s">
        <v>109</v>
      </c>
      <c r="B62" s="22">
        <f t="shared" ref="B62:G62" si="16">B53-B57+B58-B59+B60</f>
        <v>119.26788758288396</v>
      </c>
      <c r="C62" s="22">
        <f t="shared" si="16"/>
        <v>116.26788758288396</v>
      </c>
      <c r="D62" s="22">
        <f t="shared" si="16"/>
        <v>125.76788758288396</v>
      </c>
      <c r="E62" s="22">
        <f t="shared" si="16"/>
        <v>122.76788758288396</v>
      </c>
      <c r="F62" s="76">
        <f t="shared" si="16"/>
        <v>123.97788758288399</v>
      </c>
      <c r="G62" s="76">
        <f t="shared" si="16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17">J53-J57+J58-J59+J60</f>
        <v>121.77291044144968</v>
      </c>
      <c r="K62" s="22">
        <f t="shared" si="17"/>
        <v>118.6329104414497</v>
      </c>
    </row>
    <row r="63" spans="1:11" x14ac:dyDescent="0.45">
      <c r="B63" s="35"/>
      <c r="C63" s="35"/>
      <c r="D63" s="35"/>
      <c r="E63" s="35"/>
      <c r="F63" s="81"/>
      <c r="G63" s="81"/>
      <c r="H63" s="81"/>
      <c r="I63" s="81"/>
      <c r="J63" s="35"/>
      <c r="K63" s="35"/>
    </row>
    <row r="64" spans="1:11" x14ac:dyDescent="0.4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</row>
    <row r="65" spans="1:11" x14ac:dyDescent="0.45">
      <c r="A65" s="29" t="s">
        <v>98</v>
      </c>
      <c r="B65" s="22">
        <f t="shared" ref="B65:G65" si="18">B17-B23-B51+B21+B33</f>
        <v>141.22667503568732</v>
      </c>
      <c r="C65" s="22">
        <f t="shared" si="18"/>
        <v>141.22667503568732</v>
      </c>
      <c r="D65" s="22">
        <f t="shared" si="18"/>
        <v>150.67667503568734</v>
      </c>
      <c r="E65" s="22">
        <f t="shared" si="18"/>
        <v>150.67667503568734</v>
      </c>
      <c r="F65" s="76">
        <f t="shared" si="18"/>
        <v>145.93667503568736</v>
      </c>
      <c r="G65" s="76">
        <f t="shared" si="18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19">J17-J23-J51+J21+J33</f>
        <v>143.73169789425305</v>
      </c>
      <c r="K65" s="22">
        <f t="shared" si="19"/>
        <v>143.59169789425306</v>
      </c>
    </row>
  </sheetData>
  <mergeCells count="5"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50" activePane="bottomRight" state="frozen"/>
      <selection pane="topRight"/>
      <selection pane="bottomLeft"/>
      <selection pane="bottomRight" activeCell="K71" sqref="K71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4" width="15.59765625" style="1" customWidth="1"/>
    <col min="5" max="16384" width="9" style="1"/>
  </cols>
  <sheetData>
    <row r="1" spans="1:4" ht="14.25" customHeight="1" x14ac:dyDescent="0.45">
      <c r="A1" s="3"/>
      <c r="B1" s="89" t="s">
        <v>119</v>
      </c>
      <c r="C1" s="89"/>
      <c r="D1" s="89"/>
    </row>
    <row r="2" spans="1:4" ht="29.25" customHeight="1" x14ac:dyDescent="0.45">
      <c r="A2" s="4" t="s">
        <v>10</v>
      </c>
      <c r="B2" s="5" t="s">
        <v>102</v>
      </c>
      <c r="C2" s="6" t="s">
        <v>103</v>
      </c>
      <c r="D2" s="6" t="s">
        <v>104</v>
      </c>
    </row>
    <row r="3" spans="1:4" x14ac:dyDescent="0.45">
      <c r="A3" s="7" t="s">
        <v>11</v>
      </c>
      <c r="B3" s="8">
        <v>2.6</v>
      </c>
      <c r="C3" s="8">
        <v>2.6</v>
      </c>
      <c r="D3" s="8">
        <v>2.6</v>
      </c>
    </row>
    <row r="4" spans="1:4" x14ac:dyDescent="0.45">
      <c r="A4" s="7" t="s">
        <v>13</v>
      </c>
      <c r="B4" s="8">
        <v>100</v>
      </c>
      <c r="C4" s="8">
        <v>100</v>
      </c>
      <c r="D4" s="8">
        <v>100</v>
      </c>
    </row>
    <row r="5" spans="1:4" x14ac:dyDescent="0.45">
      <c r="A5" s="7" t="s">
        <v>15</v>
      </c>
      <c r="B5" s="9" t="s">
        <v>16</v>
      </c>
      <c r="C5" s="9" t="s">
        <v>16</v>
      </c>
      <c r="D5" s="9" t="s">
        <v>16</v>
      </c>
    </row>
    <row r="6" spans="1:4" x14ac:dyDescent="0.45">
      <c r="A6" s="7" t="s">
        <v>17</v>
      </c>
      <c r="B6" s="12" t="s">
        <v>16</v>
      </c>
      <c r="C6" s="12" t="s">
        <v>16</v>
      </c>
      <c r="D6" s="12" t="s">
        <v>16</v>
      </c>
    </row>
    <row r="7" spans="1:4" x14ac:dyDescent="0.45">
      <c r="A7" s="7" t="s">
        <v>19</v>
      </c>
      <c r="B7" s="84" t="s">
        <v>122</v>
      </c>
      <c r="C7" s="84" t="s">
        <v>122</v>
      </c>
      <c r="D7" s="84" t="s">
        <v>122</v>
      </c>
    </row>
    <row r="8" spans="1:4" x14ac:dyDescent="0.45">
      <c r="A8" s="7" t="s">
        <v>20</v>
      </c>
      <c r="B8" s="26">
        <v>0.01</v>
      </c>
      <c r="C8" s="26">
        <v>0.01</v>
      </c>
      <c r="D8" s="26">
        <v>0.01</v>
      </c>
    </row>
    <row r="9" spans="1:4" x14ac:dyDescent="0.45">
      <c r="A9" s="7" t="s">
        <v>21</v>
      </c>
      <c r="B9" s="12" t="s">
        <v>22</v>
      </c>
      <c r="C9" s="12" t="s">
        <v>22</v>
      </c>
      <c r="D9" s="12" t="s">
        <v>22</v>
      </c>
    </row>
    <row r="10" spans="1:4" x14ac:dyDescent="0.45">
      <c r="A10" s="7" t="s">
        <v>23</v>
      </c>
      <c r="B10" s="12">
        <v>3</v>
      </c>
      <c r="C10" s="12">
        <v>3</v>
      </c>
      <c r="D10" s="12">
        <v>3</v>
      </c>
    </row>
    <row r="11" spans="1:4" x14ac:dyDescent="0.45">
      <c r="A11" s="4" t="s">
        <v>24</v>
      </c>
      <c r="B11" s="13"/>
      <c r="C11" s="13"/>
      <c r="D11" s="13"/>
    </row>
    <row r="12" spans="1:4" ht="15" customHeight="1" x14ac:dyDescent="0.45">
      <c r="A12" s="7" t="s">
        <v>25</v>
      </c>
      <c r="B12" s="12">
        <v>192</v>
      </c>
      <c r="C12" s="12">
        <v>192</v>
      </c>
      <c r="D12" s="12">
        <v>192</v>
      </c>
    </row>
    <row r="13" spans="1:4" x14ac:dyDescent="0.45">
      <c r="A13" s="7" t="s">
        <v>27</v>
      </c>
      <c r="B13" s="12">
        <v>64</v>
      </c>
      <c r="C13" s="12">
        <v>64</v>
      </c>
      <c r="D13" s="12">
        <v>64</v>
      </c>
    </row>
    <row r="14" spans="1:4" x14ac:dyDescent="0.45">
      <c r="A14" s="15" t="s">
        <v>29</v>
      </c>
      <c r="B14" s="82">
        <v>2</v>
      </c>
      <c r="C14" s="82">
        <v>2</v>
      </c>
      <c r="D14" s="82">
        <v>2</v>
      </c>
    </row>
    <row r="15" spans="1:4" x14ac:dyDescent="0.45">
      <c r="A15" s="10" t="s">
        <v>31</v>
      </c>
      <c r="B15" s="83">
        <v>33</v>
      </c>
      <c r="C15" s="83">
        <v>33</v>
      </c>
      <c r="D15" s="83">
        <v>33</v>
      </c>
    </row>
    <row r="16" spans="1:4" x14ac:dyDescent="0.4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28.2" x14ac:dyDescent="0.45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2.3" x14ac:dyDescent="0.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</row>
    <row r="19" spans="1:4" x14ac:dyDescent="0.45">
      <c r="A19" s="7" t="s">
        <v>39</v>
      </c>
      <c r="B19" s="12">
        <v>8</v>
      </c>
      <c r="C19" s="12">
        <v>8</v>
      </c>
      <c r="D19" s="12">
        <v>8</v>
      </c>
    </row>
    <row r="20" spans="1:4" ht="42.3" x14ac:dyDescent="0.45">
      <c r="A20" s="15" t="s">
        <v>41</v>
      </c>
      <c r="B20" s="82">
        <v>2.65</v>
      </c>
      <c r="C20" s="82">
        <v>2.65</v>
      </c>
      <c r="D20" s="82">
        <v>2.65</v>
      </c>
    </row>
    <row r="21" spans="1:4" ht="61.5" customHeight="1" x14ac:dyDescent="0.45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</row>
    <row r="22" spans="1:4" x14ac:dyDescent="0.45">
      <c r="A22" s="7" t="s">
        <v>45</v>
      </c>
      <c r="B22" s="12">
        <v>0</v>
      </c>
      <c r="C22" s="12">
        <v>0</v>
      </c>
      <c r="D22" s="12">
        <v>0</v>
      </c>
    </row>
    <row r="23" spans="1:4" x14ac:dyDescent="0.45">
      <c r="A23" s="7" t="s">
        <v>47</v>
      </c>
      <c r="B23" s="12">
        <v>0</v>
      </c>
      <c r="C23" s="12">
        <v>0</v>
      </c>
      <c r="D23" s="12">
        <v>0</v>
      </c>
    </row>
    <row r="24" spans="1:4" ht="28.2" x14ac:dyDescent="0.45">
      <c r="A24" s="7" t="s">
        <v>48</v>
      </c>
      <c r="B24" s="12">
        <v>3</v>
      </c>
      <c r="C24" s="12">
        <v>3</v>
      </c>
      <c r="D24" s="12">
        <v>3</v>
      </c>
    </row>
    <row r="25" spans="1:4" x14ac:dyDescent="0.45">
      <c r="A25" s="7" t="s">
        <v>49</v>
      </c>
      <c r="B25" s="9" t="s">
        <v>16</v>
      </c>
      <c r="C25" s="9" t="s">
        <v>16</v>
      </c>
      <c r="D25" s="9" t="s">
        <v>16</v>
      </c>
    </row>
    <row r="26" spans="1:4" x14ac:dyDescent="0.4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</row>
    <row r="27" spans="1:4" x14ac:dyDescent="0.45">
      <c r="A27" s="4" t="s">
        <v>52</v>
      </c>
      <c r="B27" s="13"/>
      <c r="C27" s="13"/>
      <c r="D27" s="13"/>
    </row>
    <row r="28" spans="1:4" x14ac:dyDescent="0.45">
      <c r="A28" s="7" t="s">
        <v>53</v>
      </c>
      <c r="B28" s="12">
        <v>4</v>
      </c>
      <c r="C28" s="12">
        <v>2</v>
      </c>
      <c r="D28" s="12">
        <v>1</v>
      </c>
    </row>
    <row r="29" spans="1:4" x14ac:dyDescent="0.45">
      <c r="A29" s="7" t="s">
        <v>54</v>
      </c>
      <c r="B29" s="12">
        <v>4</v>
      </c>
      <c r="C29" s="12">
        <v>2</v>
      </c>
      <c r="D29" s="12">
        <v>1</v>
      </c>
    </row>
    <row r="30" spans="1:4" ht="42.3" x14ac:dyDescent="0.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x14ac:dyDescent="0.45">
      <c r="A31" s="7" t="s">
        <v>57</v>
      </c>
      <c r="B31" s="12">
        <v>0</v>
      </c>
      <c r="C31" s="12">
        <v>-3</v>
      </c>
      <c r="D31" s="12">
        <v>-3</v>
      </c>
    </row>
    <row r="32" spans="1:4" ht="42.3" x14ac:dyDescent="0.45">
      <c r="A32" s="14" t="s">
        <v>58</v>
      </c>
      <c r="B32" s="12">
        <v>0</v>
      </c>
      <c r="C32" s="12">
        <v>0</v>
      </c>
      <c r="D32" s="12">
        <v>0</v>
      </c>
    </row>
    <row r="33" spans="1:4" ht="27.6" x14ac:dyDescent="0.45">
      <c r="A33" s="20" t="s">
        <v>105</v>
      </c>
      <c r="B33" s="12">
        <v>0</v>
      </c>
      <c r="C33" s="12">
        <v>0</v>
      </c>
      <c r="D33" s="12">
        <v>0</v>
      </c>
    </row>
    <row r="34" spans="1:4" ht="28.2" x14ac:dyDescent="0.45">
      <c r="A34" s="7" t="s">
        <v>60</v>
      </c>
      <c r="B34" s="12">
        <v>1</v>
      </c>
      <c r="C34" s="12">
        <v>1</v>
      </c>
      <c r="D34" s="12">
        <v>1</v>
      </c>
    </row>
    <row r="35" spans="1:4" x14ac:dyDescent="0.45">
      <c r="A35" s="7" t="s">
        <v>61</v>
      </c>
      <c r="B35" s="8">
        <v>7</v>
      </c>
      <c r="C35" s="8">
        <v>7</v>
      </c>
      <c r="D35" s="8">
        <v>7</v>
      </c>
    </row>
    <row r="36" spans="1:4" x14ac:dyDescent="0.45">
      <c r="A36" s="7" t="s">
        <v>62</v>
      </c>
      <c r="B36" s="8">
        <v>-174</v>
      </c>
      <c r="C36" s="8">
        <v>-174</v>
      </c>
      <c r="D36" s="8">
        <v>-174</v>
      </c>
    </row>
    <row r="37" spans="1:4" x14ac:dyDescent="0.45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 x14ac:dyDescent="0.45">
      <c r="A38" s="15" t="s">
        <v>65</v>
      </c>
      <c r="B38" s="82">
        <v>-169.3</v>
      </c>
      <c r="C38" s="82">
        <v>-169.3</v>
      </c>
      <c r="D38" s="82">
        <v>-169.3</v>
      </c>
    </row>
    <row r="39" spans="1:4" ht="28.2" x14ac:dyDescent="0.45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28.2" x14ac:dyDescent="0.45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x14ac:dyDescent="0.45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 x14ac:dyDescent="0.45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</row>
    <row r="43" spans="1:4" x14ac:dyDescent="0.4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x14ac:dyDescent="0.4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</row>
    <row r="45" spans="1:4" x14ac:dyDescent="0.45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 x14ac:dyDescent="0.45">
      <c r="A46" s="28" t="s">
        <v>75</v>
      </c>
      <c r="B46" s="16">
        <v>-11.6</v>
      </c>
      <c r="C46" s="16">
        <v>-9.1999999999999993</v>
      </c>
      <c r="D46" s="16">
        <v>-6.11</v>
      </c>
    </row>
    <row r="47" spans="1:4" x14ac:dyDescent="0.45">
      <c r="A47" s="7" t="s">
        <v>76</v>
      </c>
      <c r="B47" s="12">
        <v>2</v>
      </c>
      <c r="C47" s="12">
        <v>2</v>
      </c>
      <c r="D47" s="12">
        <v>2</v>
      </c>
    </row>
    <row r="48" spans="1:4" ht="28.2" x14ac:dyDescent="0.45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 x14ac:dyDescent="0.45">
      <c r="A49" s="7" t="s">
        <v>79</v>
      </c>
      <c r="B49" s="8">
        <v>0</v>
      </c>
      <c r="C49" s="8">
        <v>0</v>
      </c>
      <c r="D49" s="8">
        <v>0</v>
      </c>
    </row>
    <row r="50" spans="1:4" ht="28.2" x14ac:dyDescent="0.45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8.2" x14ac:dyDescent="0.45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</row>
    <row r="52" spans="1:4" ht="28.2" x14ac:dyDescent="0.45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28.2" x14ac:dyDescent="0.45">
      <c r="A53" s="29" t="s">
        <v>85</v>
      </c>
      <c r="B53" s="22">
        <f>B26+B30+B33-B34-B51</f>
        <v>160.76190068970607</v>
      </c>
      <c r="C53" s="22">
        <f t="shared" ref="C53:D53" si="2">C26+C30+C33-C34-C51</f>
        <v>155.36190068970609</v>
      </c>
      <c r="D53" s="22">
        <f t="shared" si="2"/>
        <v>152.27190068970609</v>
      </c>
    </row>
    <row r="54" spans="1:4" x14ac:dyDescent="0.45">
      <c r="A54" s="4" t="s">
        <v>86</v>
      </c>
      <c r="B54" s="13"/>
      <c r="C54" s="13"/>
      <c r="D54" s="13"/>
    </row>
    <row r="55" spans="1:4" ht="16.5" customHeight="1" x14ac:dyDescent="0.45">
      <c r="A55" s="15" t="s">
        <v>87</v>
      </c>
      <c r="B55" s="82">
        <v>7</v>
      </c>
      <c r="C55" s="82">
        <v>7</v>
      </c>
      <c r="D55" s="82">
        <v>7</v>
      </c>
    </row>
    <row r="56" spans="1:4" ht="28.2" x14ac:dyDescent="0.45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28.2" x14ac:dyDescent="0.45">
      <c r="A57" s="30" t="s">
        <v>90</v>
      </c>
      <c r="B57" s="82">
        <v>7.56</v>
      </c>
      <c r="C57" s="82">
        <v>7.56</v>
      </c>
      <c r="D57" s="82">
        <v>7.56</v>
      </c>
    </row>
    <row r="58" spans="1:4" x14ac:dyDescent="0.45">
      <c r="A58" s="15" t="s">
        <v>91</v>
      </c>
      <c r="B58" s="82">
        <v>0</v>
      </c>
      <c r="C58" s="82">
        <v>0</v>
      </c>
      <c r="D58" s="82">
        <v>0</v>
      </c>
    </row>
    <row r="59" spans="1:4" x14ac:dyDescent="0.45">
      <c r="A59" s="15" t="s">
        <v>92</v>
      </c>
      <c r="B59" s="82">
        <v>26.25</v>
      </c>
      <c r="C59" s="82">
        <v>26.25</v>
      </c>
      <c r="D59" s="82">
        <v>26.25</v>
      </c>
    </row>
    <row r="60" spans="1:4" x14ac:dyDescent="0.45">
      <c r="A60" s="15" t="s">
        <v>93</v>
      </c>
      <c r="B60" s="82">
        <v>0</v>
      </c>
      <c r="C60" s="82">
        <v>0</v>
      </c>
      <c r="D60" s="82">
        <v>0</v>
      </c>
    </row>
    <row r="61" spans="1:4" ht="28.2" x14ac:dyDescent="0.45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28.2" x14ac:dyDescent="0.45">
      <c r="A62" s="29" t="s">
        <v>109</v>
      </c>
      <c r="B62" s="22">
        <f>B53-B57+B58-B59+B60</f>
        <v>126.95190068970606</v>
      </c>
      <c r="C62" s="22">
        <f t="shared" ref="C62:D62" si="3">C53-C57+C58-C59+C60</f>
        <v>121.55190068970609</v>
      </c>
      <c r="D62" s="22">
        <f t="shared" si="3"/>
        <v>118.46190068970608</v>
      </c>
    </row>
    <row r="63" spans="1:4" x14ac:dyDescent="0.45">
      <c r="C63" s="2"/>
      <c r="D63" s="2"/>
    </row>
    <row r="64" spans="1:4" x14ac:dyDescent="0.45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 x14ac:dyDescent="0.4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I65" sqref="I65"/>
    </sheetView>
  </sheetViews>
  <sheetFormatPr defaultColWidth="9" defaultRowHeight="15.3" x14ac:dyDescent="0.45"/>
  <cols>
    <col min="1" max="1" width="62.09765625" style="1" customWidth="1"/>
    <col min="2" max="2" width="15.59765625" style="2" customWidth="1"/>
    <col min="3" max="3" width="15.59765625" style="1" customWidth="1"/>
    <col min="4" max="16384" width="9" style="1"/>
  </cols>
  <sheetData>
    <row r="1" spans="1:3" ht="14.25" customHeight="1" x14ac:dyDescent="0.45">
      <c r="A1" s="3"/>
      <c r="B1" s="89" t="s">
        <v>119</v>
      </c>
      <c r="C1" s="89"/>
    </row>
    <row r="2" spans="1:3" ht="29.25" customHeight="1" x14ac:dyDescent="0.45">
      <c r="A2" s="4" t="s">
        <v>10</v>
      </c>
      <c r="B2" s="5" t="s">
        <v>102</v>
      </c>
      <c r="C2" s="6" t="s">
        <v>110</v>
      </c>
    </row>
    <row r="3" spans="1:3" x14ac:dyDescent="0.45">
      <c r="A3" s="7" t="s">
        <v>11</v>
      </c>
      <c r="B3" s="8">
        <v>2.6</v>
      </c>
      <c r="C3" s="8">
        <v>2.6</v>
      </c>
    </row>
    <row r="4" spans="1:3" x14ac:dyDescent="0.45">
      <c r="A4" s="7" t="s">
        <v>13</v>
      </c>
      <c r="B4" s="8">
        <v>100</v>
      </c>
      <c r="C4" s="8">
        <v>100</v>
      </c>
    </row>
    <row r="5" spans="1:3" x14ac:dyDescent="0.45">
      <c r="A5" s="7" t="s">
        <v>15</v>
      </c>
      <c r="B5" s="9" t="s">
        <v>16</v>
      </c>
      <c r="C5" s="9" t="s">
        <v>16</v>
      </c>
    </row>
    <row r="6" spans="1:3" x14ac:dyDescent="0.45">
      <c r="A6" s="7" t="s">
        <v>17</v>
      </c>
      <c r="B6" s="9" t="s">
        <v>16</v>
      </c>
      <c r="C6" s="9" t="s">
        <v>16</v>
      </c>
    </row>
    <row r="7" spans="1:3" ht="28.2" x14ac:dyDescent="0.45">
      <c r="A7" s="10" t="s">
        <v>112</v>
      </c>
      <c r="B7" s="11">
        <v>0.01</v>
      </c>
      <c r="C7" s="11">
        <v>0.01</v>
      </c>
    </row>
    <row r="8" spans="1:3" x14ac:dyDescent="0.45">
      <c r="A8" s="7" t="s">
        <v>20</v>
      </c>
      <c r="B8" s="9" t="s">
        <v>16</v>
      </c>
      <c r="C8" s="9" t="s">
        <v>16</v>
      </c>
    </row>
    <row r="9" spans="1:3" x14ac:dyDescent="0.45">
      <c r="A9" s="7" t="s">
        <v>21</v>
      </c>
      <c r="B9" s="12" t="s">
        <v>22</v>
      </c>
      <c r="C9" s="12" t="s">
        <v>22</v>
      </c>
    </row>
    <row r="10" spans="1:3" x14ac:dyDescent="0.45">
      <c r="A10" s="7" t="s">
        <v>23</v>
      </c>
      <c r="B10" s="12">
        <v>3</v>
      </c>
      <c r="C10" s="12">
        <v>3</v>
      </c>
    </row>
    <row r="11" spans="1:3" x14ac:dyDescent="0.45">
      <c r="A11" s="4" t="s">
        <v>24</v>
      </c>
      <c r="B11" s="13"/>
      <c r="C11" s="13"/>
    </row>
    <row r="12" spans="1:3" ht="15" customHeight="1" x14ac:dyDescent="0.45">
      <c r="A12" s="7" t="s">
        <v>25</v>
      </c>
      <c r="B12" s="8">
        <v>1</v>
      </c>
      <c r="C12" s="8">
        <v>1</v>
      </c>
    </row>
    <row r="13" spans="1:3" x14ac:dyDescent="0.45">
      <c r="A13" s="7" t="s">
        <v>27</v>
      </c>
      <c r="B13" s="12">
        <v>64</v>
      </c>
      <c r="C13" s="12">
        <v>64</v>
      </c>
    </row>
    <row r="14" spans="1:3" x14ac:dyDescent="0.45">
      <c r="A14" s="14" t="s">
        <v>29</v>
      </c>
      <c r="B14" s="12">
        <v>1</v>
      </c>
      <c r="C14" s="12">
        <v>1</v>
      </c>
    </row>
    <row r="15" spans="1:3" x14ac:dyDescent="0.45">
      <c r="A15" s="7" t="s">
        <v>31</v>
      </c>
      <c r="B15" s="12" t="s">
        <v>16</v>
      </c>
      <c r="C15" s="12" t="s">
        <v>16</v>
      </c>
    </row>
    <row r="16" spans="1:3" x14ac:dyDescent="0.45">
      <c r="A16" s="7" t="s">
        <v>33</v>
      </c>
      <c r="B16" s="8">
        <v>23</v>
      </c>
      <c r="C16" s="8">
        <v>23</v>
      </c>
    </row>
    <row r="17" spans="1:3" ht="28.2" x14ac:dyDescent="0.45">
      <c r="A17" s="7" t="s">
        <v>35</v>
      </c>
      <c r="B17" s="8">
        <v>23</v>
      </c>
      <c r="C17" s="8">
        <v>23</v>
      </c>
    </row>
    <row r="18" spans="1:3" ht="42.3" x14ac:dyDescent="0.45">
      <c r="A18" s="14" t="s">
        <v>37</v>
      </c>
      <c r="B18" s="12">
        <f>B19+10*LOG10(B12/B14)-B20</f>
        <v>0</v>
      </c>
      <c r="C18" s="12">
        <f>C19+10*LOG10(C12/C14)-C20</f>
        <v>-3</v>
      </c>
    </row>
    <row r="19" spans="1:3" x14ac:dyDescent="0.45">
      <c r="A19" s="7" t="s">
        <v>39</v>
      </c>
      <c r="B19" s="8">
        <v>0</v>
      </c>
      <c r="C19" s="8">
        <v>-3</v>
      </c>
    </row>
    <row r="20" spans="1:3" ht="42.3" x14ac:dyDescent="0.45">
      <c r="A20" s="14" t="s">
        <v>41</v>
      </c>
      <c r="B20" s="12">
        <v>0</v>
      </c>
      <c r="C20" s="12">
        <v>0</v>
      </c>
    </row>
    <row r="21" spans="1:3" ht="61.5" customHeight="1" x14ac:dyDescent="0.45">
      <c r="A21" s="14" t="s">
        <v>43</v>
      </c>
      <c r="B21" s="12">
        <v>0</v>
      </c>
      <c r="C21" s="12">
        <v>0</v>
      </c>
    </row>
    <row r="22" spans="1:3" x14ac:dyDescent="0.45">
      <c r="A22" s="7" t="s">
        <v>45</v>
      </c>
      <c r="B22" s="8">
        <v>0</v>
      </c>
      <c r="C22" s="8">
        <v>0</v>
      </c>
    </row>
    <row r="23" spans="1:3" x14ac:dyDescent="0.45">
      <c r="A23" s="7" t="s">
        <v>47</v>
      </c>
      <c r="B23" s="8">
        <v>0</v>
      </c>
      <c r="C23" s="8">
        <v>0</v>
      </c>
    </row>
    <row r="24" spans="1:3" ht="28.2" x14ac:dyDescent="0.45">
      <c r="A24" s="7" t="s">
        <v>48</v>
      </c>
      <c r="B24" s="8">
        <v>1</v>
      </c>
      <c r="C24" s="8">
        <v>1</v>
      </c>
    </row>
    <row r="25" spans="1:3" x14ac:dyDescent="0.45">
      <c r="A25" s="7" t="s">
        <v>49</v>
      </c>
      <c r="B25" s="8">
        <f>B17+B18+B21+B22-B24</f>
        <v>22</v>
      </c>
      <c r="C25" s="8">
        <f>C17+C18+C21+C22-C24</f>
        <v>19</v>
      </c>
    </row>
    <row r="26" spans="1:3" x14ac:dyDescent="0.45">
      <c r="A26" s="7" t="s">
        <v>51</v>
      </c>
      <c r="B26" s="9" t="s">
        <v>16</v>
      </c>
      <c r="C26" s="9" t="s">
        <v>16</v>
      </c>
    </row>
    <row r="27" spans="1:3" x14ac:dyDescent="0.45">
      <c r="A27" s="4" t="s">
        <v>52</v>
      </c>
      <c r="B27" s="13"/>
      <c r="C27" s="13"/>
    </row>
    <row r="28" spans="1:3" x14ac:dyDescent="0.45">
      <c r="A28" s="7" t="s">
        <v>111</v>
      </c>
      <c r="B28" s="12">
        <v>192</v>
      </c>
      <c r="C28" s="12">
        <v>192</v>
      </c>
    </row>
    <row r="29" spans="1:3" x14ac:dyDescent="0.45">
      <c r="A29" s="15" t="s">
        <v>54</v>
      </c>
      <c r="B29" s="82">
        <v>2</v>
      </c>
      <c r="C29" s="82">
        <v>2</v>
      </c>
    </row>
    <row r="30" spans="1:3" ht="42.3" x14ac:dyDescent="0.45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</row>
    <row r="31" spans="1:3" x14ac:dyDescent="0.45">
      <c r="A31" s="7" t="s">
        <v>57</v>
      </c>
      <c r="B31" s="8">
        <v>8</v>
      </c>
      <c r="C31" s="8">
        <v>8</v>
      </c>
    </row>
    <row r="32" spans="1:3" ht="42.3" x14ac:dyDescent="0.45">
      <c r="A32" s="15" t="s">
        <v>58</v>
      </c>
      <c r="B32" s="82">
        <v>0</v>
      </c>
      <c r="C32" s="82">
        <v>0</v>
      </c>
    </row>
    <row r="33" spans="1:3" ht="27.6" x14ac:dyDescent="0.45">
      <c r="A33" s="17" t="s">
        <v>105</v>
      </c>
      <c r="B33" s="16">
        <f>10*LOG10(B13/B29)</f>
        <v>15.051499783199061</v>
      </c>
      <c r="C33" s="16">
        <f>10*LOG10(C13/C29)</f>
        <v>15.051499783199061</v>
      </c>
    </row>
    <row r="34" spans="1:3" ht="28.2" x14ac:dyDescent="0.45">
      <c r="A34" s="7" t="s">
        <v>60</v>
      </c>
      <c r="B34" s="8">
        <v>3</v>
      </c>
      <c r="C34" s="8">
        <v>3</v>
      </c>
    </row>
    <row r="35" spans="1:3" x14ac:dyDescent="0.45">
      <c r="A35" s="7" t="s">
        <v>61</v>
      </c>
      <c r="B35" s="8">
        <v>5</v>
      </c>
      <c r="C35" s="8">
        <v>5</v>
      </c>
    </row>
    <row r="36" spans="1:3" x14ac:dyDescent="0.45">
      <c r="A36" s="7" t="s">
        <v>62</v>
      </c>
      <c r="B36" s="8">
        <v>-174</v>
      </c>
      <c r="C36" s="8">
        <v>-174</v>
      </c>
    </row>
    <row r="37" spans="1:3" x14ac:dyDescent="0.45">
      <c r="A37" s="15" t="s">
        <v>63</v>
      </c>
      <c r="B37" s="82">
        <v>-161.69999999999999</v>
      </c>
      <c r="C37" s="82">
        <v>-161.69999999999999</v>
      </c>
    </row>
    <row r="38" spans="1:3" x14ac:dyDescent="0.45">
      <c r="A38" s="14" t="s">
        <v>65</v>
      </c>
      <c r="B38" s="12" t="s">
        <v>16</v>
      </c>
      <c r="C38" s="12" t="s">
        <v>16</v>
      </c>
    </row>
    <row r="39" spans="1:3" ht="28.2" x14ac:dyDescent="0.45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</row>
    <row r="40" spans="1:3" ht="28.2" x14ac:dyDescent="0.45">
      <c r="A40" s="7" t="s">
        <v>107</v>
      </c>
      <c r="B40" s="9" t="s">
        <v>16</v>
      </c>
      <c r="C40" s="9" t="s">
        <v>16</v>
      </c>
    </row>
    <row r="41" spans="1:3" x14ac:dyDescent="0.45">
      <c r="A41" s="19" t="s">
        <v>68</v>
      </c>
      <c r="B41" s="82">
        <f>12*360*1000</f>
        <v>4320000</v>
      </c>
      <c r="C41" s="82">
        <f>12*360*1000</f>
        <v>4320000</v>
      </c>
    </row>
    <row r="42" spans="1:3" x14ac:dyDescent="0.45">
      <c r="A42" s="20" t="s">
        <v>70</v>
      </c>
      <c r="B42" s="12" t="s">
        <v>16</v>
      </c>
      <c r="C42" s="12" t="s">
        <v>16</v>
      </c>
    </row>
    <row r="43" spans="1:3" x14ac:dyDescent="0.45">
      <c r="A43" s="7" t="s">
        <v>71</v>
      </c>
      <c r="B43" s="12">
        <f>B39+10*LOG10(B41)</f>
        <v>-94.603551432304087</v>
      </c>
      <c r="C43" s="12">
        <f>C39+10*LOG10(C41)</f>
        <v>-94.603551432304087</v>
      </c>
    </row>
    <row r="44" spans="1:3" x14ac:dyDescent="0.45">
      <c r="A44" s="7" t="s">
        <v>72</v>
      </c>
      <c r="B44" s="9" t="s">
        <v>16</v>
      </c>
      <c r="C44" s="9" t="s">
        <v>16</v>
      </c>
    </row>
    <row r="45" spans="1:3" x14ac:dyDescent="0.45">
      <c r="A45" s="17" t="s">
        <v>73</v>
      </c>
      <c r="B45" s="16">
        <v>-10.25</v>
      </c>
      <c r="C45" s="16">
        <v>-10.25</v>
      </c>
    </row>
    <row r="46" spans="1:3" x14ac:dyDescent="0.45">
      <c r="A46" s="20" t="s">
        <v>75</v>
      </c>
      <c r="B46" s="12" t="s">
        <v>16</v>
      </c>
      <c r="C46" s="12" t="s">
        <v>16</v>
      </c>
    </row>
    <row r="47" spans="1:3" x14ac:dyDescent="0.45">
      <c r="A47" s="7" t="s">
        <v>76</v>
      </c>
      <c r="B47" s="8">
        <v>2</v>
      </c>
      <c r="C47" s="8">
        <v>2</v>
      </c>
    </row>
    <row r="48" spans="1:3" ht="28.2" x14ac:dyDescent="0.45">
      <c r="A48" s="7" t="s">
        <v>77</v>
      </c>
      <c r="B48" s="8">
        <v>0</v>
      </c>
      <c r="C48" s="8">
        <v>0</v>
      </c>
    </row>
    <row r="49" spans="1:3" ht="33.75" customHeight="1" x14ac:dyDescent="0.45">
      <c r="A49" s="7" t="s">
        <v>79</v>
      </c>
      <c r="B49" s="9" t="s">
        <v>16</v>
      </c>
      <c r="C49" s="9" t="s">
        <v>16</v>
      </c>
    </row>
    <row r="50" spans="1:3" ht="28.2" x14ac:dyDescent="0.45">
      <c r="A50" s="7" t="s">
        <v>80</v>
      </c>
      <c r="B50" s="12">
        <f>B43+B45+B47-B48</f>
        <v>-102.85355143230409</v>
      </c>
      <c r="C50" s="12">
        <f>C43+C45+C47-C48</f>
        <v>-102.85355143230409</v>
      </c>
    </row>
    <row r="51" spans="1:3" ht="28.2" x14ac:dyDescent="0.45">
      <c r="A51" s="7" t="s">
        <v>82</v>
      </c>
      <c r="B51" s="12" t="s">
        <v>16</v>
      </c>
      <c r="C51" s="12" t="s">
        <v>16</v>
      </c>
    </row>
    <row r="52" spans="1:3" ht="28.2" x14ac:dyDescent="0.45">
      <c r="A52" s="21" t="s">
        <v>83</v>
      </c>
      <c r="B52" s="22">
        <f>B25+B30+B33-B34-B50</f>
        <v>149.67626376269976</v>
      </c>
      <c r="C52" s="22">
        <f>C25+C30+C33-C34-C50</f>
        <v>146.67626376269976</v>
      </c>
    </row>
    <row r="53" spans="1:3" ht="28.2" x14ac:dyDescent="0.45">
      <c r="A53" s="23" t="s">
        <v>85</v>
      </c>
      <c r="B53" s="24" t="s">
        <v>16</v>
      </c>
      <c r="C53" s="24" t="s">
        <v>16</v>
      </c>
    </row>
    <row r="54" spans="1:3" x14ac:dyDescent="0.45">
      <c r="A54" s="4" t="s">
        <v>86</v>
      </c>
      <c r="B54" s="13"/>
      <c r="C54" s="13"/>
    </row>
    <row r="55" spans="1:3" ht="16.5" customHeight="1" x14ac:dyDescent="0.45">
      <c r="A55" s="15" t="s">
        <v>87</v>
      </c>
      <c r="B55" s="82">
        <v>7</v>
      </c>
      <c r="C55" s="82">
        <v>7</v>
      </c>
    </row>
    <row r="56" spans="1:3" ht="28.2" x14ac:dyDescent="0.45">
      <c r="A56" s="15" t="s">
        <v>89</v>
      </c>
      <c r="B56" s="82">
        <v>7.56</v>
      </c>
      <c r="C56" s="82">
        <v>7.56</v>
      </c>
    </row>
    <row r="57" spans="1:3" ht="28.2" x14ac:dyDescent="0.45">
      <c r="A57" s="14" t="s">
        <v>90</v>
      </c>
      <c r="B57" s="25" t="s">
        <v>16</v>
      </c>
      <c r="C57" s="25" t="s">
        <v>16</v>
      </c>
    </row>
    <row r="58" spans="1:3" x14ac:dyDescent="0.45">
      <c r="A58" s="15" t="s">
        <v>91</v>
      </c>
      <c r="B58" s="82">
        <v>0</v>
      </c>
      <c r="C58" s="82">
        <v>0</v>
      </c>
    </row>
    <row r="59" spans="1:3" x14ac:dyDescent="0.45">
      <c r="A59" s="15" t="s">
        <v>92</v>
      </c>
      <c r="B59" s="82">
        <v>26.25</v>
      </c>
      <c r="C59" s="82">
        <v>26.25</v>
      </c>
    </row>
    <row r="60" spans="1:3" x14ac:dyDescent="0.45">
      <c r="A60" s="15" t="s">
        <v>93</v>
      </c>
      <c r="B60" s="82">
        <v>0</v>
      </c>
      <c r="C60" s="82">
        <v>0</v>
      </c>
    </row>
    <row r="61" spans="1:3" ht="28.2" x14ac:dyDescent="0.45">
      <c r="A61" s="21" t="s">
        <v>108</v>
      </c>
      <c r="B61" s="22">
        <f>B52-B56+B58-B59+B60</f>
        <v>115.86626376269976</v>
      </c>
      <c r="C61" s="22">
        <f>C52-C56+C58-C59+C60</f>
        <v>112.86626376269976</v>
      </c>
    </row>
    <row r="62" spans="1:3" ht="28.2" x14ac:dyDescent="0.45">
      <c r="A62" s="23" t="s">
        <v>109</v>
      </c>
      <c r="B62" s="24" t="s">
        <v>16</v>
      </c>
      <c r="C62" s="24" t="s">
        <v>16</v>
      </c>
    </row>
    <row r="63" spans="1:3" x14ac:dyDescent="0.45">
      <c r="C63" s="2"/>
    </row>
    <row r="64" spans="1:3" x14ac:dyDescent="0.45">
      <c r="A64" s="21" t="s">
        <v>97</v>
      </c>
      <c r="B64" s="22">
        <f>B17+B22-B50+B21+B33</f>
        <v>140.90505121550314</v>
      </c>
      <c r="C64" s="22">
        <f>C17+C22-C50+C21+C33</f>
        <v>140.90505121550314</v>
      </c>
    </row>
    <row r="65" spans="1:3" x14ac:dyDescent="0.45">
      <c r="A65" s="23" t="s">
        <v>98</v>
      </c>
      <c r="B65" s="24" t="s">
        <v>16</v>
      </c>
      <c r="C65" s="24" t="s">
        <v>16</v>
      </c>
    </row>
  </sheetData>
  <mergeCells count="1">
    <mergeCell ref="B1:C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caa248ac-567e-4f8a-83ad-95641c120e6c"/>
    <ds:schemaRef ds:uri="http://schemas.microsoft.com/office/infopath/2007/PartnerControls"/>
    <ds:schemaRef ds:uri="f0c1c198-6772-4070-9fed-c99b54821fd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Xueming Pan</cp:lastModifiedBy>
  <cp:lastPrinted>2006-01-19T03:50:00Z</cp:lastPrinted>
  <dcterms:created xsi:type="dcterms:W3CDTF">2003-11-11T03:59:00Z</dcterms:created>
  <dcterms:modified xsi:type="dcterms:W3CDTF">2020-10-20T09:17:35Z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