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042287\OD\Documents\material\contribution\RAN1_103(e)\RedCap\8.6\LLS_revised\"/>
    </mc:Choice>
  </mc:AlternateContent>
  <xr:revisionPtr revIDLastSave="14" documentId="8_{A0BD0F73-CFF2-415F-8BCB-1D783DF3F10F}" xr6:coauthVersionLast="45" xr6:coauthVersionMax="45" xr10:uidLastSave="{6B8EA083-76C0-4F5B-8A66-0E9D57AF550C}"/>
  <bookViews>
    <workbookView xWindow="-108" yWindow="-108" windowWidth="23256" windowHeight="14016" tabRatio="774" activeTab="2" xr2:uid="{00000000-000D-0000-FFFF-FFFF00000000}"/>
  </bookViews>
  <sheets>
    <sheet name="Link budget (Ref UE)" sheetId="29" r:id="rId1"/>
    <sheet name="Link budget (RedCap)" sheetId="31" r:id="rId2"/>
    <sheet name="PDSCH" sheetId="46" r:id="rId3"/>
    <sheet name="PDCCH USS" sheetId="32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41" i="32" l="1"/>
  <c r="AH17" i="32" s="1"/>
  <c r="AG41" i="32"/>
  <c r="AG17" i="32" s="1"/>
  <c r="AF41" i="32"/>
  <c r="AF17" i="32" s="1"/>
  <c r="AH39" i="32"/>
  <c r="AH43" i="32" s="1"/>
  <c r="AH50" i="32" s="1"/>
  <c r="AG39" i="32"/>
  <c r="AG43" i="32" s="1"/>
  <c r="AG50" i="32" s="1"/>
  <c r="AF39" i="32"/>
  <c r="AH30" i="32"/>
  <c r="AG30" i="32"/>
  <c r="AF30" i="32"/>
  <c r="AH18" i="32"/>
  <c r="AG18" i="32"/>
  <c r="AF18" i="32"/>
  <c r="AH16" i="32"/>
  <c r="AG16" i="32"/>
  <c r="AF16" i="32"/>
  <c r="AG44" i="46"/>
  <c r="AG51" i="46" s="1"/>
  <c r="AH42" i="46"/>
  <c r="AG42" i="46"/>
  <c r="AF42" i="46"/>
  <c r="AH40" i="46"/>
  <c r="AG40" i="46"/>
  <c r="AF40" i="46"/>
  <c r="AF44" i="46" s="1"/>
  <c r="AF51" i="46" s="1"/>
  <c r="AH30" i="46"/>
  <c r="AG30" i="46"/>
  <c r="AF30" i="46"/>
  <c r="AH18" i="46"/>
  <c r="AG18" i="46"/>
  <c r="AF18" i="46"/>
  <c r="AG17" i="46"/>
  <c r="AF17" i="46"/>
  <c r="AF65" i="46" s="1"/>
  <c r="AH16" i="46"/>
  <c r="AG16" i="46"/>
  <c r="AF16" i="46"/>
  <c r="AG65" i="46" l="1"/>
  <c r="AF26" i="46"/>
  <c r="AF53" i="46" s="1"/>
  <c r="AF62" i="46" s="1"/>
  <c r="AH44" i="46"/>
  <c r="AH51" i="46" s="1"/>
  <c r="AF25" i="32"/>
  <c r="AG64" i="32"/>
  <c r="AG25" i="32"/>
  <c r="AG52" i="32" s="1"/>
  <c r="AG61" i="32" s="1"/>
  <c r="AH25" i="32"/>
  <c r="AH52" i="32" s="1"/>
  <c r="AH61" i="32" s="1"/>
  <c r="AH64" i="32"/>
  <c r="AF43" i="32"/>
  <c r="AF50" i="32" s="1"/>
  <c r="AF64" i="32" s="1"/>
  <c r="AH17" i="46"/>
  <c r="AG26" i="46"/>
  <c r="AG53" i="46" s="1"/>
  <c r="AG62" i="46" s="1"/>
  <c r="AF52" i="32" l="1"/>
  <c r="AF61" i="32" s="1"/>
  <c r="AH65" i="46"/>
  <c r="AH26" i="46"/>
  <c r="AH53" i="46" s="1"/>
  <c r="AH62" i="46" s="1"/>
  <c r="M43" i="57" l="1"/>
  <c r="M50" i="57" s="1"/>
  <c r="M64" i="57" s="1"/>
  <c r="L43" i="57"/>
  <c r="L50" i="57" s="1"/>
  <c r="L64" i="57" s="1"/>
  <c r="M41" i="57"/>
  <c r="L41" i="57"/>
  <c r="M39" i="57"/>
  <c r="L39" i="57"/>
  <c r="M30" i="57"/>
  <c r="L30" i="57"/>
  <c r="M25" i="57"/>
  <c r="L25" i="57"/>
  <c r="M18" i="57"/>
  <c r="L18" i="57"/>
  <c r="O44" i="56"/>
  <c r="O51" i="56" s="1"/>
  <c r="N44" i="56"/>
  <c r="N51" i="56" s="1"/>
  <c r="N65" i="56" s="1"/>
  <c r="O42" i="56"/>
  <c r="N42" i="56"/>
  <c r="O40" i="56"/>
  <c r="N40" i="56"/>
  <c r="O30" i="56"/>
  <c r="N30" i="56"/>
  <c r="O26" i="56"/>
  <c r="N26" i="56"/>
  <c r="O18" i="56"/>
  <c r="N18" i="56"/>
  <c r="O17" i="56"/>
  <c r="N17" i="56"/>
  <c r="O16" i="56"/>
  <c r="N16" i="56"/>
  <c r="AG42" i="54"/>
  <c r="AF42" i="54"/>
  <c r="AG40" i="54"/>
  <c r="AG44" i="54" s="1"/>
  <c r="AG51" i="54" s="1"/>
  <c r="AG65" i="54" s="1"/>
  <c r="AF40" i="54"/>
  <c r="AF44" i="54" s="1"/>
  <c r="AF51" i="54" s="1"/>
  <c r="AF65" i="54" s="1"/>
  <c r="AG30" i="54"/>
  <c r="AF30" i="54"/>
  <c r="AG26" i="54"/>
  <c r="AG18" i="54"/>
  <c r="AF18" i="54"/>
  <c r="AF26" i="54" s="1"/>
  <c r="AU42" i="53"/>
  <c r="AT42" i="53"/>
  <c r="AU40" i="53"/>
  <c r="AU44" i="53" s="1"/>
  <c r="AU51" i="53" s="1"/>
  <c r="AT40" i="53"/>
  <c r="AT44" i="53" s="1"/>
  <c r="AT51" i="53" s="1"/>
  <c r="AU30" i="53"/>
  <c r="AT30" i="53"/>
  <c r="AU18" i="53"/>
  <c r="AT18" i="53"/>
  <c r="AU17" i="53"/>
  <c r="AT17" i="53"/>
  <c r="AT65" i="53" s="1"/>
  <c r="AU16" i="53"/>
  <c r="AT16" i="53"/>
  <c r="AU42" i="52"/>
  <c r="AT42" i="52"/>
  <c r="AU40" i="52"/>
  <c r="AU44" i="52" s="1"/>
  <c r="AU51" i="52" s="1"/>
  <c r="AT40" i="52"/>
  <c r="AT44" i="52" s="1"/>
  <c r="AT51" i="52" s="1"/>
  <c r="AU30" i="52"/>
  <c r="AT30" i="52"/>
  <c r="AU18" i="52"/>
  <c r="AT18" i="52"/>
  <c r="AU17" i="52"/>
  <c r="AT17" i="52"/>
  <c r="AU16" i="52"/>
  <c r="AT16" i="52"/>
  <c r="AX41" i="51"/>
  <c r="AW41" i="51"/>
  <c r="AX39" i="51"/>
  <c r="AX43" i="51" s="1"/>
  <c r="AX50" i="51" s="1"/>
  <c r="AW39" i="51"/>
  <c r="AW43" i="51" s="1"/>
  <c r="AW50" i="51" s="1"/>
  <c r="AX30" i="51"/>
  <c r="AW30" i="51"/>
  <c r="AX18" i="51"/>
  <c r="AW18" i="51"/>
  <c r="AX17" i="51"/>
  <c r="AW17" i="51"/>
  <c r="AX16" i="51"/>
  <c r="AW16" i="51"/>
  <c r="AI44" i="50"/>
  <c r="AI51" i="50" s="1"/>
  <c r="AI65" i="50" s="1"/>
  <c r="AI42" i="50"/>
  <c r="AH42" i="50"/>
  <c r="AI40" i="50"/>
  <c r="AH40" i="50"/>
  <c r="AH44" i="50" s="1"/>
  <c r="AH51" i="50" s="1"/>
  <c r="AH65" i="50" s="1"/>
  <c r="AI30" i="50"/>
  <c r="AH30" i="50"/>
  <c r="AI26" i="50"/>
  <c r="AI18" i="50"/>
  <c r="AH18" i="50"/>
  <c r="AH26" i="50" s="1"/>
  <c r="AH53" i="50" s="1"/>
  <c r="AH62" i="50" s="1"/>
  <c r="AE41" i="49"/>
  <c r="AD41" i="49"/>
  <c r="AE39" i="49"/>
  <c r="AE43" i="49" s="1"/>
  <c r="AE50" i="49" s="1"/>
  <c r="AE64" i="49" s="1"/>
  <c r="AD39" i="49"/>
  <c r="AD43" i="49" s="1"/>
  <c r="AD50" i="49" s="1"/>
  <c r="AD64" i="49" s="1"/>
  <c r="AE30" i="49"/>
  <c r="AD30" i="49"/>
  <c r="AE18" i="49"/>
  <c r="AE25" i="49" s="1"/>
  <c r="AE52" i="49" s="1"/>
  <c r="AE61" i="49" s="1"/>
  <c r="AD18" i="49"/>
  <c r="AD25" i="49" s="1"/>
  <c r="AD52" i="49" s="1"/>
  <c r="AD61" i="49" s="1"/>
  <c r="W43" i="48"/>
  <c r="W50" i="48" s="1"/>
  <c r="W64" i="48" s="1"/>
  <c r="V43" i="48"/>
  <c r="V50" i="48" s="1"/>
  <c r="V64" i="48" s="1"/>
  <c r="W41" i="48"/>
  <c r="V41" i="48"/>
  <c r="W39" i="48"/>
  <c r="V39" i="48"/>
  <c r="W30" i="48"/>
  <c r="V30" i="48"/>
  <c r="W25" i="48"/>
  <c r="W52" i="48" s="1"/>
  <c r="W61" i="48" s="1"/>
  <c r="V25" i="48"/>
  <c r="V52" i="48" s="1"/>
  <c r="V61" i="48" s="1"/>
  <c r="W18" i="48"/>
  <c r="V18" i="48"/>
  <c r="AC43" i="47"/>
  <c r="AC50" i="47" s="1"/>
  <c r="AC64" i="47" s="1"/>
  <c r="AB43" i="47"/>
  <c r="AB50" i="47" s="1"/>
  <c r="AB64" i="47" s="1"/>
  <c r="AC41" i="47"/>
  <c r="AB41" i="47"/>
  <c r="AC39" i="47"/>
  <c r="AB39" i="47"/>
  <c r="AC30" i="47"/>
  <c r="AB30" i="47"/>
  <c r="AC25" i="47"/>
  <c r="AC52" i="47" s="1"/>
  <c r="AC61" i="47" s="1"/>
  <c r="AB25" i="47"/>
  <c r="AC18" i="47"/>
  <c r="AB18" i="47"/>
  <c r="AY41" i="32"/>
  <c r="AX41" i="32"/>
  <c r="AY39" i="32"/>
  <c r="AY43" i="32" s="1"/>
  <c r="AY50" i="32" s="1"/>
  <c r="AX39" i="32"/>
  <c r="AX43" i="32" s="1"/>
  <c r="AX50" i="32" s="1"/>
  <c r="AY30" i="32"/>
  <c r="AX30" i="32"/>
  <c r="AY18" i="32"/>
  <c r="AX18" i="32"/>
  <c r="AY17" i="32"/>
  <c r="AX17" i="32"/>
  <c r="AY16" i="32"/>
  <c r="AX16" i="32"/>
  <c r="BB42" i="46"/>
  <c r="BA42" i="46"/>
  <c r="BB40" i="46"/>
  <c r="BB44" i="46" s="1"/>
  <c r="BB51" i="46" s="1"/>
  <c r="BA40" i="46"/>
  <c r="BA44" i="46" s="1"/>
  <c r="BA51" i="46" s="1"/>
  <c r="BB30" i="46"/>
  <c r="BA30" i="46"/>
  <c r="BB18" i="46"/>
  <c r="BA18" i="46"/>
  <c r="BB17" i="46"/>
  <c r="BB65" i="46" s="1"/>
  <c r="BA17" i="46"/>
  <c r="BA65" i="46" s="1"/>
  <c r="BB16" i="46"/>
  <c r="BA16" i="46"/>
  <c r="AY64" i="32" l="1"/>
  <c r="M52" i="57"/>
  <c r="M61" i="57" s="1"/>
  <c r="L52" i="57"/>
  <c r="L61" i="57" s="1"/>
  <c r="N53" i="56"/>
  <c r="N62" i="56" s="1"/>
  <c r="O65" i="56"/>
  <c r="O53" i="56"/>
  <c r="O62" i="56" s="1"/>
  <c r="AG53" i="54"/>
  <c r="AG62" i="54" s="1"/>
  <c r="AF53" i="54"/>
  <c r="AF62" i="54" s="1"/>
  <c r="AU65" i="53"/>
  <c r="AT26" i="53"/>
  <c r="AT53" i="53" s="1"/>
  <c r="AT62" i="53" s="1"/>
  <c r="AU26" i="53"/>
  <c r="AU53" i="53" s="1"/>
  <c r="AU62" i="53" s="1"/>
  <c r="AT65" i="52"/>
  <c r="AU65" i="52"/>
  <c r="AT26" i="52"/>
  <c r="AT53" i="52" s="1"/>
  <c r="AT62" i="52" s="1"/>
  <c r="AU26" i="52"/>
  <c r="AU53" i="52" s="1"/>
  <c r="AU62" i="52" s="1"/>
  <c r="AW64" i="51"/>
  <c r="AX64" i="51"/>
  <c r="AW25" i="51"/>
  <c r="AW52" i="51" s="1"/>
  <c r="AW61" i="51" s="1"/>
  <c r="AX25" i="51"/>
  <c r="AX52" i="51" s="1"/>
  <c r="AX61" i="51" s="1"/>
  <c r="AI53" i="50"/>
  <c r="AI62" i="50" s="1"/>
  <c r="AB52" i="47"/>
  <c r="AB61" i="47" s="1"/>
  <c r="AX64" i="32"/>
  <c r="AX25" i="32"/>
  <c r="AX52" i="32" s="1"/>
  <c r="AX61" i="32" s="1"/>
  <c r="AY25" i="32"/>
  <c r="AY52" i="32" s="1"/>
  <c r="AY61" i="32" s="1"/>
  <c r="BA26" i="46"/>
  <c r="BA53" i="46" s="1"/>
  <c r="BA62" i="46" s="1"/>
  <c r="BB26" i="46"/>
  <c r="BB53" i="46" s="1"/>
  <c r="BB62" i="46" s="1"/>
  <c r="AE42" i="54"/>
  <c r="AD42" i="54"/>
  <c r="AE40" i="54"/>
  <c r="AE44" i="54" s="1"/>
  <c r="AE51" i="54" s="1"/>
  <c r="AE65" i="54" s="1"/>
  <c r="AD40" i="54"/>
  <c r="AD44" i="54" s="1"/>
  <c r="AD51" i="54" s="1"/>
  <c r="AD65" i="54" s="1"/>
  <c r="AE30" i="54"/>
  <c r="AD30" i="54"/>
  <c r="AE18" i="54"/>
  <c r="AE26" i="54" s="1"/>
  <c r="AE53" i="54" s="1"/>
  <c r="AE62" i="54" s="1"/>
  <c r="AD18" i="54"/>
  <c r="AD26" i="54" s="1"/>
  <c r="AD53" i="54" s="1"/>
  <c r="AD62" i="54" s="1"/>
  <c r="AS42" i="53"/>
  <c r="AS17" i="53" s="1"/>
  <c r="AR42" i="53"/>
  <c r="AR44" i="53" s="1"/>
  <c r="AR51" i="53" s="1"/>
  <c r="AQ42" i="53"/>
  <c r="AS40" i="53"/>
  <c r="AS44" i="53" s="1"/>
  <c r="AS51" i="53" s="1"/>
  <c r="AR40" i="53"/>
  <c r="AQ40" i="53"/>
  <c r="AQ44" i="53" s="1"/>
  <c r="AQ51" i="53" s="1"/>
  <c r="AS30" i="53"/>
  <c r="AR30" i="53"/>
  <c r="AQ30" i="53"/>
  <c r="AS18" i="53"/>
  <c r="AR18" i="53"/>
  <c r="AQ18" i="53"/>
  <c r="AQ17" i="53"/>
  <c r="AS16" i="53"/>
  <c r="AR16" i="53"/>
  <c r="AQ16" i="53"/>
  <c r="AQ44" i="52"/>
  <c r="AQ51" i="52" s="1"/>
  <c r="AS42" i="52"/>
  <c r="AS17" i="52" s="1"/>
  <c r="AR42" i="52"/>
  <c r="AQ42" i="52"/>
  <c r="AS40" i="52"/>
  <c r="AS44" i="52" s="1"/>
  <c r="AS51" i="52" s="1"/>
  <c r="AR40" i="52"/>
  <c r="AR44" i="52" s="1"/>
  <c r="AR51" i="52" s="1"/>
  <c r="AQ40" i="52"/>
  <c r="AS30" i="52"/>
  <c r="AR30" i="52"/>
  <c r="AQ30" i="52"/>
  <c r="AS18" i="52"/>
  <c r="AR18" i="52"/>
  <c r="AQ18" i="52"/>
  <c r="AQ26" i="52" s="1"/>
  <c r="AR17" i="52"/>
  <c r="AQ17" i="52"/>
  <c r="AS16" i="52"/>
  <c r="AR16" i="52"/>
  <c r="AQ16" i="52"/>
  <c r="AG42" i="50"/>
  <c r="AF42" i="50"/>
  <c r="AG40" i="50"/>
  <c r="AG44" i="50" s="1"/>
  <c r="AG51" i="50" s="1"/>
  <c r="AG65" i="50" s="1"/>
  <c r="AF40" i="50"/>
  <c r="AF44" i="50" s="1"/>
  <c r="AF51" i="50" s="1"/>
  <c r="AF65" i="50" s="1"/>
  <c r="AG30" i="50"/>
  <c r="AF30" i="50"/>
  <c r="AG26" i="50"/>
  <c r="AG18" i="50"/>
  <c r="AF18" i="50"/>
  <c r="AF26" i="50" s="1"/>
  <c r="AF53" i="50" s="1"/>
  <c r="AF62" i="50" s="1"/>
  <c r="AV41" i="51"/>
  <c r="AV17" i="51" s="1"/>
  <c r="AU41" i="51"/>
  <c r="AU17" i="51" s="1"/>
  <c r="AT41" i="51"/>
  <c r="AT17" i="51" s="1"/>
  <c r="AV39" i="51"/>
  <c r="AV43" i="51" s="1"/>
  <c r="AV50" i="51" s="1"/>
  <c r="AU39" i="51"/>
  <c r="AU43" i="51" s="1"/>
  <c r="AU50" i="51" s="1"/>
  <c r="AT39" i="51"/>
  <c r="AT43" i="51" s="1"/>
  <c r="AT50" i="51" s="1"/>
  <c r="AV30" i="51"/>
  <c r="AU30" i="51"/>
  <c r="AT30" i="51"/>
  <c r="AV18" i="51"/>
  <c r="AU18" i="51"/>
  <c r="AT18" i="51"/>
  <c r="AV16" i="51"/>
  <c r="AU16" i="51"/>
  <c r="AT16" i="51"/>
  <c r="AC41" i="49"/>
  <c r="AB41" i="49"/>
  <c r="AC39" i="49"/>
  <c r="AC43" i="49" s="1"/>
  <c r="AC50" i="49" s="1"/>
  <c r="AC64" i="49" s="1"/>
  <c r="AB39" i="49"/>
  <c r="AB43" i="49" s="1"/>
  <c r="AB50" i="49" s="1"/>
  <c r="AB64" i="49" s="1"/>
  <c r="AC30" i="49"/>
  <c r="AB30" i="49"/>
  <c r="AC25" i="49"/>
  <c r="AC52" i="49" s="1"/>
  <c r="AC61" i="49" s="1"/>
  <c r="AB25" i="49"/>
  <c r="AC18" i="49"/>
  <c r="AB18" i="49"/>
  <c r="AY44" i="46"/>
  <c r="AY51" i="46" s="1"/>
  <c r="AZ42" i="46"/>
  <c r="AZ17" i="46" s="1"/>
  <c r="AY42" i="46"/>
  <c r="AX42" i="46"/>
  <c r="AX17" i="46" s="1"/>
  <c r="AZ40" i="46"/>
  <c r="AZ44" i="46" s="1"/>
  <c r="AZ51" i="46" s="1"/>
  <c r="AY40" i="46"/>
  <c r="AX40" i="46"/>
  <c r="AX44" i="46" s="1"/>
  <c r="AX51" i="46" s="1"/>
  <c r="AZ30" i="46"/>
  <c r="AY30" i="46"/>
  <c r="AX30" i="46"/>
  <c r="AZ18" i="46"/>
  <c r="AY18" i="46"/>
  <c r="AX18" i="46"/>
  <c r="AY17" i="46"/>
  <c r="AZ16" i="46"/>
  <c r="AY16" i="46"/>
  <c r="AX16" i="46"/>
  <c r="AQ65" i="53" l="1"/>
  <c r="AS65" i="53"/>
  <c r="AS26" i="53"/>
  <c r="AS53" i="53" s="1"/>
  <c r="AS62" i="53" s="1"/>
  <c r="AR17" i="53"/>
  <c r="AQ26" i="53"/>
  <c r="AQ53" i="53" s="1"/>
  <c r="AQ62" i="53" s="1"/>
  <c r="AQ65" i="52"/>
  <c r="AR65" i="52"/>
  <c r="AQ53" i="52"/>
  <c r="AQ62" i="52" s="1"/>
  <c r="AS65" i="52"/>
  <c r="AS26" i="52"/>
  <c r="AS53" i="52" s="1"/>
  <c r="AS62" i="52" s="1"/>
  <c r="AR26" i="52"/>
  <c r="AR53" i="52" s="1"/>
  <c r="AR62" i="52" s="1"/>
  <c r="AG53" i="50"/>
  <c r="AG62" i="50" s="1"/>
  <c r="AU64" i="51"/>
  <c r="AU25" i="51"/>
  <c r="AU52" i="51" s="1"/>
  <c r="AU61" i="51" s="1"/>
  <c r="AT64" i="51"/>
  <c r="AT25" i="51"/>
  <c r="AT52" i="51" s="1"/>
  <c r="AT61" i="51" s="1"/>
  <c r="AV64" i="51"/>
  <c r="AV25" i="51"/>
  <c r="AV52" i="51" s="1"/>
  <c r="AV61" i="51" s="1"/>
  <c r="AB52" i="49"/>
  <c r="AB61" i="49" s="1"/>
  <c r="AZ65" i="46"/>
  <c r="AZ26" i="46"/>
  <c r="AZ53" i="46" s="1"/>
  <c r="AZ62" i="46" s="1"/>
  <c r="AY65" i="46"/>
  <c r="AX65" i="46"/>
  <c r="AX26" i="46"/>
  <c r="AX53" i="46" s="1"/>
  <c r="AX62" i="46" s="1"/>
  <c r="AY26" i="46"/>
  <c r="AY53" i="46" s="1"/>
  <c r="AY62" i="46" s="1"/>
  <c r="AS41" i="51"/>
  <c r="AS17" i="51" s="1"/>
  <c r="AR41" i="51"/>
  <c r="AQ41" i="51"/>
  <c r="AQ17" i="51" s="1"/>
  <c r="AS39" i="51"/>
  <c r="AR39" i="51"/>
  <c r="AR43" i="51" s="1"/>
  <c r="AR50" i="51" s="1"/>
  <c r="AQ39" i="51"/>
  <c r="AQ43" i="51" s="1"/>
  <c r="AQ50" i="51" s="1"/>
  <c r="AS30" i="51"/>
  <c r="AR30" i="51"/>
  <c r="AQ30" i="51"/>
  <c r="AS18" i="51"/>
  <c r="AR18" i="51"/>
  <c r="AQ18" i="51"/>
  <c r="AR17" i="51"/>
  <c r="AR64" i="51" s="1"/>
  <c r="AS16" i="51"/>
  <c r="AR16" i="51"/>
  <c r="AQ16" i="51"/>
  <c r="AD44" i="50"/>
  <c r="AD51" i="50" s="1"/>
  <c r="AD65" i="50" s="1"/>
  <c r="AE42" i="50"/>
  <c r="AD42" i="50"/>
  <c r="AE40" i="50"/>
  <c r="AE44" i="50" s="1"/>
  <c r="AE51" i="50" s="1"/>
  <c r="AD40" i="50"/>
  <c r="AE30" i="50"/>
  <c r="AD30" i="50"/>
  <c r="AE26" i="50"/>
  <c r="AD26" i="50"/>
  <c r="AE18" i="50"/>
  <c r="AD18" i="50"/>
  <c r="AA41" i="49"/>
  <c r="Z41" i="49"/>
  <c r="AA39" i="49"/>
  <c r="AA43" i="49" s="1"/>
  <c r="AA50" i="49" s="1"/>
  <c r="AA64" i="49" s="1"/>
  <c r="Z39" i="49"/>
  <c r="Z43" i="49" s="1"/>
  <c r="Z50" i="49" s="1"/>
  <c r="Z64" i="49" s="1"/>
  <c r="AA30" i="49"/>
  <c r="Z30" i="49"/>
  <c r="AA18" i="49"/>
  <c r="AA25" i="49" s="1"/>
  <c r="Z18" i="49"/>
  <c r="Z25" i="49" s="1"/>
  <c r="Z52" i="49" s="1"/>
  <c r="Z61" i="49" s="1"/>
  <c r="AA41" i="47"/>
  <c r="Z41" i="47"/>
  <c r="AA39" i="47"/>
  <c r="AA43" i="47" s="1"/>
  <c r="AA50" i="47" s="1"/>
  <c r="AA64" i="47" s="1"/>
  <c r="Z39" i="47"/>
  <c r="Z43" i="47" s="1"/>
  <c r="Z50" i="47" s="1"/>
  <c r="Z64" i="47" s="1"/>
  <c r="AA30" i="47"/>
  <c r="Z30" i="47"/>
  <c r="AA25" i="47"/>
  <c r="AA18" i="47"/>
  <c r="Z18" i="47"/>
  <c r="Z25" i="47" s="1"/>
  <c r="AW41" i="32"/>
  <c r="AW17" i="32" s="1"/>
  <c r="AV41" i="32"/>
  <c r="AV17" i="32" s="1"/>
  <c r="AU41" i="32"/>
  <c r="AU17" i="32" s="1"/>
  <c r="AW39" i="32"/>
  <c r="AV39" i="32"/>
  <c r="AU39" i="32"/>
  <c r="AW30" i="32"/>
  <c r="AV30" i="32"/>
  <c r="AU30" i="32"/>
  <c r="AW18" i="32"/>
  <c r="AV18" i="32"/>
  <c r="AU18" i="32"/>
  <c r="AW16" i="32"/>
  <c r="AV16" i="32"/>
  <c r="AU16" i="32"/>
  <c r="AV44" i="46"/>
  <c r="AV51" i="46" s="1"/>
  <c r="AW42" i="46"/>
  <c r="AW17" i="46" s="1"/>
  <c r="AV42" i="46"/>
  <c r="AV17" i="46" s="1"/>
  <c r="AU42" i="46"/>
  <c r="AU17" i="46" s="1"/>
  <c r="AW40" i="46"/>
  <c r="AW44" i="46" s="1"/>
  <c r="AW51" i="46" s="1"/>
  <c r="AV40" i="46"/>
  <c r="AU40" i="46"/>
  <c r="AU44" i="46" s="1"/>
  <c r="AU51" i="46" s="1"/>
  <c r="AW30" i="46"/>
  <c r="AV30" i="46"/>
  <c r="AU30" i="46"/>
  <c r="AW18" i="46"/>
  <c r="AV18" i="46"/>
  <c r="AU18" i="46"/>
  <c r="AW16" i="46"/>
  <c r="AV16" i="46"/>
  <c r="AU16" i="46"/>
  <c r="AU43" i="32" l="1"/>
  <c r="AU50" i="32" s="1"/>
  <c r="AR65" i="53"/>
  <c r="AR26" i="53"/>
  <c r="AR53" i="53" s="1"/>
  <c r="AR62" i="53" s="1"/>
  <c r="AW43" i="32"/>
  <c r="AW50" i="32" s="1"/>
  <c r="AW64" i="32" s="1"/>
  <c r="AV43" i="32"/>
  <c r="AV50" i="32" s="1"/>
  <c r="AV64" i="32" s="1"/>
  <c r="AS43" i="51"/>
  <c r="AS50" i="51" s="1"/>
  <c r="AS64" i="51"/>
  <c r="AS25" i="51"/>
  <c r="AS52" i="51" s="1"/>
  <c r="AS61" i="51" s="1"/>
  <c r="AQ64" i="51"/>
  <c r="AQ25" i="51"/>
  <c r="AQ52" i="51" s="1"/>
  <c r="AQ61" i="51" s="1"/>
  <c r="AR25" i="51"/>
  <c r="AR52" i="51" s="1"/>
  <c r="AR61" i="51" s="1"/>
  <c r="AD53" i="50"/>
  <c r="AD62" i="50" s="1"/>
  <c r="AE53" i="50"/>
  <c r="AE62" i="50" s="1"/>
  <c r="AE65" i="50"/>
  <c r="AA52" i="49"/>
  <c r="AA61" i="49" s="1"/>
  <c r="Z52" i="47"/>
  <c r="Z61" i="47" s="1"/>
  <c r="AA52" i="47"/>
  <c r="AA61" i="47" s="1"/>
  <c r="AW25" i="32"/>
  <c r="AU64" i="32"/>
  <c r="AU25" i="32"/>
  <c r="AU52" i="32" s="1"/>
  <c r="AU61" i="32" s="1"/>
  <c r="AV25" i="32"/>
  <c r="AV52" i="32" s="1"/>
  <c r="AV61" i="32" s="1"/>
  <c r="AU65" i="46"/>
  <c r="AU26" i="46"/>
  <c r="AU53" i="46" s="1"/>
  <c r="AU62" i="46" s="1"/>
  <c r="AV26" i="46"/>
  <c r="AV53" i="46" s="1"/>
  <c r="AV62" i="46" s="1"/>
  <c r="AV65" i="46"/>
  <c r="AW65" i="46"/>
  <c r="AW26" i="46"/>
  <c r="AW53" i="46" s="1"/>
  <c r="AW62" i="46" s="1"/>
  <c r="K41" i="57"/>
  <c r="J41" i="57"/>
  <c r="K39" i="57"/>
  <c r="K43" i="57" s="1"/>
  <c r="K50" i="57" s="1"/>
  <c r="K64" i="57" s="1"/>
  <c r="J39" i="57"/>
  <c r="J43" i="57" s="1"/>
  <c r="J50" i="57" s="1"/>
  <c r="J64" i="57" s="1"/>
  <c r="K30" i="57"/>
  <c r="J30" i="57"/>
  <c r="J25" i="57"/>
  <c r="J52" i="57" s="1"/>
  <c r="J61" i="57" s="1"/>
  <c r="K18" i="57"/>
  <c r="K25" i="57" s="1"/>
  <c r="K52" i="57" s="1"/>
  <c r="K61" i="57" s="1"/>
  <c r="J18" i="57"/>
  <c r="M44" i="56"/>
  <c r="M51" i="56" s="1"/>
  <c r="M42" i="56"/>
  <c r="M17" i="56" s="1"/>
  <c r="L42" i="56"/>
  <c r="L17" i="56" s="1"/>
  <c r="K42" i="56"/>
  <c r="M40" i="56"/>
  <c r="L40" i="56"/>
  <c r="L44" i="56" s="1"/>
  <c r="L51" i="56" s="1"/>
  <c r="K40" i="56"/>
  <c r="K44" i="56" s="1"/>
  <c r="K51" i="56" s="1"/>
  <c r="M30" i="56"/>
  <c r="L30" i="56"/>
  <c r="K30" i="56"/>
  <c r="M18" i="56"/>
  <c r="L18" i="56"/>
  <c r="K18" i="56"/>
  <c r="K17" i="56"/>
  <c r="M16" i="56"/>
  <c r="L16" i="56"/>
  <c r="K16" i="56"/>
  <c r="AC42" i="54"/>
  <c r="AB42" i="54"/>
  <c r="AC40" i="54"/>
  <c r="AC44" i="54" s="1"/>
  <c r="AC51" i="54" s="1"/>
  <c r="AC65" i="54" s="1"/>
  <c r="AB40" i="54"/>
  <c r="AB44" i="54" s="1"/>
  <c r="AB51" i="54" s="1"/>
  <c r="AB65" i="54" s="1"/>
  <c r="AC30" i="54"/>
  <c r="AB30" i="54"/>
  <c r="AB53" i="54" s="1"/>
  <c r="AB62" i="54" s="1"/>
  <c r="AB26" i="54"/>
  <c r="AC18" i="54"/>
  <c r="AC26" i="54" s="1"/>
  <c r="AC53" i="54" s="1"/>
  <c r="AC62" i="54" s="1"/>
  <c r="AB18" i="54"/>
  <c r="AO44" i="53"/>
  <c r="AO51" i="53" s="1"/>
  <c r="AN44" i="53"/>
  <c r="AN51" i="53" s="1"/>
  <c r="AP42" i="53"/>
  <c r="AP17" i="53" s="1"/>
  <c r="AO42" i="53"/>
  <c r="AN42" i="53"/>
  <c r="AN17" i="53" s="1"/>
  <c r="AP40" i="53"/>
  <c r="AP44" i="53" s="1"/>
  <c r="AP51" i="53" s="1"/>
  <c r="AO40" i="53"/>
  <c r="AN40" i="53"/>
  <c r="AP30" i="53"/>
  <c r="AO30" i="53"/>
  <c r="AN30" i="53"/>
  <c r="AP18" i="53"/>
  <c r="AO18" i="53"/>
  <c r="AN18" i="53"/>
  <c r="AO17" i="53"/>
  <c r="AP16" i="53"/>
  <c r="AO16" i="53"/>
  <c r="AN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P41" i="51"/>
  <c r="AP17" i="51" s="1"/>
  <c r="AO41" i="51"/>
  <c r="AO17" i="51" s="1"/>
  <c r="AN41" i="51"/>
  <c r="AN17" i="51" s="1"/>
  <c r="AP39" i="51"/>
  <c r="AO39" i="51"/>
  <c r="AO43" i="51" s="1"/>
  <c r="AO50" i="51" s="1"/>
  <c r="AN39" i="51"/>
  <c r="AN43" i="51" s="1"/>
  <c r="AN50" i="51" s="1"/>
  <c r="AP30" i="51"/>
  <c r="AO30" i="51"/>
  <c r="AN30" i="51"/>
  <c r="AP18" i="51"/>
  <c r="AO18" i="51"/>
  <c r="AN18" i="51"/>
  <c r="AP16" i="51"/>
  <c r="AO16" i="51"/>
  <c r="AN16" i="51"/>
  <c r="AC42" i="50"/>
  <c r="AB42" i="50"/>
  <c r="AC40" i="50"/>
  <c r="AC44" i="50" s="1"/>
  <c r="AC51" i="50" s="1"/>
  <c r="AC65" i="50" s="1"/>
  <c r="AB40" i="50"/>
  <c r="AB44" i="50" s="1"/>
  <c r="AB51" i="50" s="1"/>
  <c r="AB65" i="50" s="1"/>
  <c r="AC30" i="50"/>
  <c r="AB30" i="50"/>
  <c r="AC18" i="50"/>
  <c r="AC26" i="50" s="1"/>
  <c r="AC53" i="50" s="1"/>
  <c r="AC62" i="50" s="1"/>
  <c r="AB18" i="50"/>
  <c r="AB26" i="50" s="1"/>
  <c r="AB53" i="50" s="1"/>
  <c r="AB62" i="50" s="1"/>
  <c r="Y43" i="49"/>
  <c r="Y50" i="49" s="1"/>
  <c r="Y64" i="49" s="1"/>
  <c r="X43" i="49"/>
  <c r="X50" i="49" s="1"/>
  <c r="X64" i="49" s="1"/>
  <c r="Y41" i="49"/>
  <c r="X41" i="49"/>
  <c r="Y39" i="49"/>
  <c r="X39" i="49"/>
  <c r="Y30" i="49"/>
  <c r="X30" i="49"/>
  <c r="Y25" i="49"/>
  <c r="X25" i="49"/>
  <c r="X52" i="49" s="1"/>
  <c r="X61" i="49" s="1"/>
  <c r="Y18" i="49"/>
  <c r="X18" i="49"/>
  <c r="U41" i="48"/>
  <c r="T41" i="48"/>
  <c r="U39" i="48"/>
  <c r="U43" i="48" s="1"/>
  <c r="U50" i="48" s="1"/>
  <c r="U64" i="48" s="1"/>
  <c r="T39" i="48"/>
  <c r="T43" i="48" s="1"/>
  <c r="T50" i="48" s="1"/>
  <c r="T64" i="48" s="1"/>
  <c r="U30" i="48"/>
  <c r="T30" i="48"/>
  <c r="U18" i="48"/>
  <c r="U25" i="48" s="1"/>
  <c r="T18" i="48"/>
  <c r="T25" i="48" s="1"/>
  <c r="T52" i="48" s="1"/>
  <c r="T61" i="48" s="1"/>
  <c r="Y43" i="47"/>
  <c r="Y50" i="47" s="1"/>
  <c r="Y64" i="47" s="1"/>
  <c r="X43" i="47"/>
  <c r="X50" i="47" s="1"/>
  <c r="X64" i="47" s="1"/>
  <c r="Y41" i="47"/>
  <c r="X41" i="47"/>
  <c r="Y39" i="47"/>
  <c r="X39" i="47"/>
  <c r="Y30" i="47"/>
  <c r="X30" i="47"/>
  <c r="Y25" i="47"/>
  <c r="Y52" i="47" s="1"/>
  <c r="Y61" i="47" s="1"/>
  <c r="X25" i="47"/>
  <c r="Y18" i="47"/>
  <c r="X18" i="47"/>
  <c r="AT41" i="32"/>
  <c r="AT17" i="32" s="1"/>
  <c r="AS41" i="32"/>
  <c r="AR41" i="32"/>
  <c r="AR17" i="32" s="1"/>
  <c r="AT39" i="32"/>
  <c r="AS39" i="32"/>
  <c r="AS43" i="32" s="1"/>
  <c r="AS50" i="32" s="1"/>
  <c r="AR39" i="32"/>
  <c r="AR43" i="32" s="1"/>
  <c r="AR50" i="32" s="1"/>
  <c r="AT30" i="32"/>
  <c r="AS30" i="32"/>
  <c r="AR30" i="32"/>
  <c r="AT18" i="32"/>
  <c r="AS18" i="32"/>
  <c r="AR18" i="32"/>
  <c r="AS17" i="32"/>
  <c r="AT16" i="32"/>
  <c r="AS16" i="32"/>
  <c r="AR16" i="32"/>
  <c r="AS44" i="46"/>
  <c r="AS51" i="46" s="1"/>
  <c r="AT42" i="46"/>
  <c r="AT17" i="46" s="1"/>
  <c r="AS42" i="46"/>
  <c r="AR42" i="46"/>
  <c r="AR17" i="46" s="1"/>
  <c r="AT40" i="46"/>
  <c r="AT44" i="46" s="1"/>
  <c r="AT51" i="46" s="1"/>
  <c r="AS40" i="46"/>
  <c r="AR40" i="46"/>
  <c r="AR44" i="46" s="1"/>
  <c r="AR51" i="46" s="1"/>
  <c r="AT30" i="46"/>
  <c r="AS30" i="46"/>
  <c r="AR30" i="46"/>
  <c r="AT18" i="46"/>
  <c r="AS18" i="46"/>
  <c r="AR18" i="46"/>
  <c r="AS17" i="46"/>
  <c r="AT16" i="46"/>
  <c r="AS16" i="46"/>
  <c r="AR16" i="46"/>
  <c r="AW52" i="32" l="1"/>
  <c r="AW61" i="32" s="1"/>
  <c r="AT43" i="32"/>
  <c r="AT50" i="32" s="1"/>
  <c r="AP43" i="51"/>
  <c r="AP50" i="51" s="1"/>
  <c r="L65" i="56"/>
  <c r="L26" i="56"/>
  <c r="L53" i="56" s="1"/>
  <c r="L62" i="56" s="1"/>
  <c r="M26" i="56"/>
  <c r="M53" i="56" s="1"/>
  <c r="M62" i="56" s="1"/>
  <c r="M65" i="56"/>
  <c r="K65" i="56"/>
  <c r="K26" i="56"/>
  <c r="K53" i="56" s="1"/>
  <c r="K62" i="56" s="1"/>
  <c r="AO65" i="53"/>
  <c r="AN65" i="53"/>
  <c r="AN26" i="53"/>
  <c r="AN53" i="53" s="1"/>
  <c r="AN62" i="53" s="1"/>
  <c r="AP65" i="53"/>
  <c r="AP26" i="53"/>
  <c r="AP53" i="53" s="1"/>
  <c r="AP62" i="53" s="1"/>
  <c r="AO26" i="53"/>
  <c r="AO53" i="53" s="1"/>
  <c r="AO62" i="53" s="1"/>
  <c r="AP65" i="52"/>
  <c r="AP26" i="52"/>
  <c r="AP53" i="52" s="1"/>
  <c r="AP62" i="52" s="1"/>
  <c r="AO26" i="52"/>
  <c r="AO53" i="52" s="1"/>
  <c r="AO62" i="52" s="1"/>
  <c r="AO65" i="52"/>
  <c r="AN26" i="52"/>
  <c r="AN44" i="52"/>
  <c r="AN51" i="52" s="1"/>
  <c r="AN65" i="52" s="1"/>
  <c r="AP64" i="51"/>
  <c r="AP25" i="51"/>
  <c r="AP52" i="51" s="1"/>
  <c r="AP61" i="51" s="1"/>
  <c r="AO64" i="51"/>
  <c r="AN64" i="51"/>
  <c r="AN25" i="51"/>
  <c r="AN52" i="51" s="1"/>
  <c r="AN61" i="51" s="1"/>
  <c r="AO25" i="51"/>
  <c r="AO52" i="51" s="1"/>
  <c r="AO61" i="51" s="1"/>
  <c r="Y52" i="49"/>
  <c r="Y61" i="49" s="1"/>
  <c r="U52" i="48"/>
  <c r="U61" i="48" s="1"/>
  <c r="X52" i="47"/>
  <c r="X61" i="47" s="1"/>
  <c r="AS64" i="32"/>
  <c r="AR64" i="32"/>
  <c r="AR25" i="32"/>
  <c r="AR52" i="32" s="1"/>
  <c r="AR61" i="32" s="1"/>
  <c r="AT64" i="32"/>
  <c r="AT25" i="32"/>
  <c r="AT52" i="32" s="1"/>
  <c r="AT61" i="32" s="1"/>
  <c r="AS25" i="32"/>
  <c r="AS52" i="32" s="1"/>
  <c r="AS61" i="32" s="1"/>
  <c r="AT65" i="46"/>
  <c r="AT26" i="46"/>
  <c r="AT53" i="46" s="1"/>
  <c r="AT62" i="46" s="1"/>
  <c r="AS65" i="46"/>
  <c r="AR65" i="46"/>
  <c r="AR26" i="46"/>
  <c r="AR53" i="46" s="1"/>
  <c r="AR62" i="46" s="1"/>
  <c r="AS26" i="46"/>
  <c r="AS53" i="46" s="1"/>
  <c r="AS62" i="46" s="1"/>
  <c r="AN53" i="52" l="1"/>
  <c r="AN62" i="52" s="1"/>
  <c r="AA42" i="54" l="1"/>
  <c r="Z42" i="54"/>
  <c r="Z44" i="54" s="1"/>
  <c r="Z51" i="54" s="1"/>
  <c r="Z65" i="54" s="1"/>
  <c r="AA40" i="54"/>
  <c r="Z40" i="54"/>
  <c r="AA30" i="54"/>
  <c r="Z30" i="54"/>
  <c r="AA18" i="54"/>
  <c r="AA26" i="54" s="1"/>
  <c r="Z18" i="54"/>
  <c r="Z26" i="54" s="1"/>
  <c r="Z53" i="54" s="1"/>
  <c r="Z62" i="54" s="1"/>
  <c r="AM42" i="53"/>
  <c r="AL42" i="53"/>
  <c r="AK42" i="53"/>
  <c r="AM40" i="53"/>
  <c r="AM44" i="53" s="1"/>
  <c r="AM51" i="53" s="1"/>
  <c r="AL40" i="53"/>
  <c r="AL44" i="53" s="1"/>
  <c r="AL51" i="53" s="1"/>
  <c r="AK40" i="53"/>
  <c r="AK44" i="53" s="1"/>
  <c r="AK51" i="53" s="1"/>
  <c r="AM30" i="53"/>
  <c r="AL30" i="53"/>
  <c r="AK30" i="53"/>
  <c r="AM18" i="53"/>
  <c r="AL18" i="53"/>
  <c r="AK18" i="53"/>
  <c r="AM17" i="53"/>
  <c r="AL17" i="53"/>
  <c r="AK17" i="53"/>
  <c r="AM16" i="53"/>
  <c r="AL16" i="53"/>
  <c r="AK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M41" i="51"/>
  <c r="AM17" i="51" s="1"/>
  <c r="AL41" i="51"/>
  <c r="AL17" i="51" s="1"/>
  <c r="AK41" i="51"/>
  <c r="AK17" i="51" s="1"/>
  <c r="AM39" i="51"/>
  <c r="AM43" i="51" s="1"/>
  <c r="AM50" i="51" s="1"/>
  <c r="AL39" i="51"/>
  <c r="AK39" i="51"/>
  <c r="AM30" i="51"/>
  <c r="AL30" i="51"/>
  <c r="AK30" i="51"/>
  <c r="AM18" i="51"/>
  <c r="AL18" i="51"/>
  <c r="AK18" i="51"/>
  <c r="AM16" i="51"/>
  <c r="AL16" i="51"/>
  <c r="AK16" i="51"/>
  <c r="AA42" i="50"/>
  <c r="Z42" i="50"/>
  <c r="AA40" i="50"/>
  <c r="Z40" i="50"/>
  <c r="AA30" i="50"/>
  <c r="Z30" i="50"/>
  <c r="AA18" i="50"/>
  <c r="AA26" i="50" s="1"/>
  <c r="Z18" i="50"/>
  <c r="Z26" i="50" s="1"/>
  <c r="W41" i="49"/>
  <c r="V41" i="49"/>
  <c r="W39" i="49"/>
  <c r="W43" i="49" s="1"/>
  <c r="W50" i="49" s="1"/>
  <c r="W64" i="49" s="1"/>
  <c r="V39" i="49"/>
  <c r="W30" i="49"/>
  <c r="V30" i="49"/>
  <c r="W18" i="49"/>
  <c r="W25" i="49" s="1"/>
  <c r="V18" i="49"/>
  <c r="V25" i="49" s="1"/>
  <c r="AQ41" i="32"/>
  <c r="AQ17" i="32" s="1"/>
  <c r="AP41" i="32"/>
  <c r="AP17" i="32" s="1"/>
  <c r="AO41" i="32"/>
  <c r="AQ39" i="32"/>
  <c r="AP39" i="32"/>
  <c r="AO39" i="32"/>
  <c r="AQ30" i="32"/>
  <c r="AP30" i="32"/>
  <c r="AO30" i="32"/>
  <c r="AQ18" i="32"/>
  <c r="AP18" i="32"/>
  <c r="AO18" i="32"/>
  <c r="AO17" i="32"/>
  <c r="AQ16" i="32"/>
  <c r="AP16" i="32"/>
  <c r="AO16" i="32"/>
  <c r="AN42" i="46"/>
  <c r="AO42" i="46"/>
  <c r="AQ42" i="46"/>
  <c r="AP42" i="46"/>
  <c r="AQ40" i="46"/>
  <c r="AQ44" i="46" s="1"/>
  <c r="AQ51" i="46" s="1"/>
  <c r="AP40" i="46"/>
  <c r="AP44" i="46" s="1"/>
  <c r="AP51" i="46" s="1"/>
  <c r="AO40" i="46"/>
  <c r="AO44" i="46" s="1"/>
  <c r="AO51" i="46" s="1"/>
  <c r="AQ30" i="46"/>
  <c r="AP30" i="46"/>
  <c r="AO30" i="46"/>
  <c r="AQ26" i="46"/>
  <c r="AQ18" i="46"/>
  <c r="AP18" i="46"/>
  <c r="AO18" i="46"/>
  <c r="AQ17" i="46"/>
  <c r="AP17" i="46"/>
  <c r="AO17" i="46"/>
  <c r="AQ16" i="46"/>
  <c r="AP16" i="46"/>
  <c r="AO16" i="46"/>
  <c r="AO43" i="32" l="1"/>
  <c r="AO50" i="32" s="1"/>
  <c r="AO64" i="32" s="1"/>
  <c r="AP43" i="32"/>
  <c r="AP50" i="32" s="1"/>
  <c r="AQ43" i="32"/>
  <c r="AQ50" i="32" s="1"/>
  <c r="AQ64" i="32" s="1"/>
  <c r="AK43" i="51"/>
  <c r="AK50" i="51" s="1"/>
  <c r="AL43" i="51"/>
  <c r="AL50" i="51" s="1"/>
  <c r="AL64" i="51" s="1"/>
  <c r="AA44" i="54"/>
  <c r="AA51" i="54" s="1"/>
  <c r="AA65" i="54" s="1"/>
  <c r="AK65" i="53"/>
  <c r="AL65" i="53"/>
  <c r="AM65" i="53"/>
  <c r="AK26" i="53"/>
  <c r="AK53" i="53" s="1"/>
  <c r="AK62" i="53" s="1"/>
  <c r="AL26" i="53"/>
  <c r="AL53" i="53" s="1"/>
  <c r="AL62" i="53" s="1"/>
  <c r="AM26" i="53"/>
  <c r="AM53" i="53" s="1"/>
  <c r="AM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K64" i="51"/>
  <c r="AM64" i="51"/>
  <c r="AK25" i="51"/>
  <c r="AK52" i="51" s="1"/>
  <c r="AK61" i="51" s="1"/>
  <c r="AL25" i="51"/>
  <c r="AM25" i="51"/>
  <c r="AM52" i="51" s="1"/>
  <c r="AM61" i="51" s="1"/>
  <c r="Z53" i="50"/>
  <c r="Z62" i="50" s="1"/>
  <c r="Z44" i="50"/>
  <c r="Z51" i="50" s="1"/>
  <c r="Z65" i="50" s="1"/>
  <c r="AA44" i="50"/>
  <c r="AA51" i="50" s="1"/>
  <c r="AA65" i="50" s="1"/>
  <c r="W52" i="49"/>
  <c r="W61" i="49" s="1"/>
  <c r="V43" i="49"/>
  <c r="V50" i="49" s="1"/>
  <c r="V64" i="49" s="1"/>
  <c r="AP64" i="32"/>
  <c r="AO25" i="32"/>
  <c r="AP25" i="32"/>
  <c r="AP52" i="32" s="1"/>
  <c r="AP61" i="32" s="1"/>
  <c r="AQ25" i="32"/>
  <c r="AQ52" i="32" s="1"/>
  <c r="AQ61" i="32" s="1"/>
  <c r="AQ53" i="46"/>
  <c r="AQ62" i="46" s="1"/>
  <c r="AO65" i="46"/>
  <c r="AP65" i="46"/>
  <c r="AQ65" i="46"/>
  <c r="AO26" i="46"/>
  <c r="AO53" i="46" s="1"/>
  <c r="AO62" i="46" s="1"/>
  <c r="AP26" i="46"/>
  <c r="AP53" i="46" s="1"/>
  <c r="AP62" i="46" s="1"/>
  <c r="I41" i="57"/>
  <c r="H41" i="57"/>
  <c r="I39" i="57"/>
  <c r="I43" i="57" s="1"/>
  <c r="I50" i="57" s="1"/>
  <c r="I64" i="57" s="1"/>
  <c r="H39" i="57"/>
  <c r="H43" i="57" s="1"/>
  <c r="H50" i="57" s="1"/>
  <c r="H64" i="57" s="1"/>
  <c r="I30" i="57"/>
  <c r="H30" i="57"/>
  <c r="I18" i="57"/>
  <c r="I25" i="57" s="1"/>
  <c r="I52" i="57" s="1"/>
  <c r="I61" i="57" s="1"/>
  <c r="H18" i="57"/>
  <c r="H25" i="57" s="1"/>
  <c r="J42" i="56"/>
  <c r="I42" i="56"/>
  <c r="H42" i="56"/>
  <c r="H17" i="56" s="1"/>
  <c r="J40" i="56"/>
  <c r="J44" i="56" s="1"/>
  <c r="J51" i="56" s="1"/>
  <c r="I40" i="56"/>
  <c r="I44" i="56" s="1"/>
  <c r="I51" i="56" s="1"/>
  <c r="I65" i="56" s="1"/>
  <c r="H40" i="56"/>
  <c r="H44" i="56" s="1"/>
  <c r="H51" i="56" s="1"/>
  <c r="J30" i="56"/>
  <c r="I30" i="56"/>
  <c r="H30" i="56"/>
  <c r="I26" i="56"/>
  <c r="J18" i="56"/>
  <c r="I18" i="56"/>
  <c r="H18" i="56"/>
  <c r="J17" i="56"/>
  <c r="J65" i="56" s="1"/>
  <c r="I17" i="56"/>
  <c r="J16" i="56"/>
  <c r="I16" i="56"/>
  <c r="H16" i="56"/>
  <c r="Y42" i="54"/>
  <c r="X42" i="54"/>
  <c r="Y40" i="54"/>
  <c r="X40" i="54"/>
  <c r="X44" i="54" s="1"/>
  <c r="X51" i="54" s="1"/>
  <c r="X65" i="54" s="1"/>
  <c r="Y30" i="54"/>
  <c r="X30" i="54"/>
  <c r="X26" i="54"/>
  <c r="X53" i="54" s="1"/>
  <c r="X62" i="54" s="1"/>
  <c r="Y18" i="54"/>
  <c r="Y26" i="54" s="1"/>
  <c r="X18" i="54"/>
  <c r="AJ42" i="53"/>
  <c r="AJ17" i="53" s="1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H65" i="53" s="1"/>
  <c r="AJ30" i="53"/>
  <c r="AI30" i="53"/>
  <c r="AH30" i="53"/>
  <c r="AJ18" i="53"/>
  <c r="AI18" i="53"/>
  <c r="AH18" i="53"/>
  <c r="AI17" i="53"/>
  <c r="AH17" i="53"/>
  <c r="AH26" i="53" s="1"/>
  <c r="AH53" i="53" s="1"/>
  <c r="AH62" i="53" s="1"/>
  <c r="AJ16" i="53"/>
  <c r="AI16" i="53"/>
  <c r="AH16" i="53"/>
  <c r="AH44" i="52"/>
  <c r="AH51" i="52" s="1"/>
  <c r="AJ42" i="52"/>
  <c r="AJ17" i="52" s="1"/>
  <c r="AI42" i="52"/>
  <c r="AH42" i="52"/>
  <c r="AH17" i="52" s="1"/>
  <c r="AJ40" i="52"/>
  <c r="AI40" i="52"/>
  <c r="AI44" i="52" s="1"/>
  <c r="AI51" i="52" s="1"/>
  <c r="AH40" i="52"/>
  <c r="AJ30" i="52"/>
  <c r="AI30" i="52"/>
  <c r="AH30" i="52"/>
  <c r="AJ18" i="52"/>
  <c r="AI18" i="52"/>
  <c r="AH18" i="52"/>
  <c r="AI17" i="52"/>
  <c r="AI65" i="52" s="1"/>
  <c r="AJ16" i="52"/>
  <c r="AI16" i="52"/>
  <c r="AH16" i="52"/>
  <c r="AJ41" i="51"/>
  <c r="AJ17" i="51" s="1"/>
  <c r="AI41" i="51"/>
  <c r="AH41" i="51"/>
  <c r="AH17" i="51" s="1"/>
  <c r="AJ39" i="51"/>
  <c r="AI39" i="51"/>
  <c r="AI43" i="51" s="1"/>
  <c r="AI50" i="51" s="1"/>
  <c r="AH39" i="51"/>
  <c r="AJ30" i="51"/>
  <c r="AI30" i="51"/>
  <c r="AH30" i="51"/>
  <c r="AJ18" i="51"/>
  <c r="AI18" i="51"/>
  <c r="AH18" i="51"/>
  <c r="AI17" i="51"/>
  <c r="AJ16" i="51"/>
  <c r="AI16" i="51"/>
  <c r="AH16" i="51"/>
  <c r="Y42" i="50"/>
  <c r="X42" i="50"/>
  <c r="Y40" i="50"/>
  <c r="Y44" i="50" s="1"/>
  <c r="Y51" i="50" s="1"/>
  <c r="Y65" i="50" s="1"/>
  <c r="X40" i="50"/>
  <c r="X44" i="50" s="1"/>
  <c r="X51" i="50" s="1"/>
  <c r="X65" i="50" s="1"/>
  <c r="Y30" i="50"/>
  <c r="X30" i="50"/>
  <c r="X26" i="50"/>
  <c r="Y18" i="50"/>
  <c r="Y26" i="50" s="1"/>
  <c r="X18" i="50"/>
  <c r="U41" i="49"/>
  <c r="T41" i="49"/>
  <c r="U39" i="49"/>
  <c r="U43" i="49" s="1"/>
  <c r="U50" i="49" s="1"/>
  <c r="U64" i="49" s="1"/>
  <c r="T39" i="49"/>
  <c r="U30" i="49"/>
  <c r="T30" i="49"/>
  <c r="T25" i="49"/>
  <c r="U18" i="49"/>
  <c r="U25" i="49" s="1"/>
  <c r="T18" i="49"/>
  <c r="S41" i="48"/>
  <c r="R41" i="48"/>
  <c r="S39" i="48"/>
  <c r="R39" i="48"/>
  <c r="S30" i="48"/>
  <c r="R30" i="48"/>
  <c r="S18" i="48"/>
  <c r="S25" i="48" s="1"/>
  <c r="R18" i="48"/>
  <c r="R25" i="48" s="1"/>
  <c r="W41" i="47"/>
  <c r="V41" i="47"/>
  <c r="W39" i="47"/>
  <c r="V39" i="47"/>
  <c r="V43" i="47" s="1"/>
  <c r="V50" i="47" s="1"/>
  <c r="V64" i="47" s="1"/>
  <c r="W30" i="47"/>
  <c r="V30" i="47"/>
  <c r="W18" i="47"/>
  <c r="W25" i="47" s="1"/>
  <c r="V18" i="47"/>
  <c r="V25" i="47" s="1"/>
  <c r="AN41" i="32"/>
  <c r="AN17" i="32" s="1"/>
  <c r="AM41" i="32"/>
  <c r="AM17" i="32" s="1"/>
  <c r="AL41" i="32"/>
  <c r="AL17" i="32" s="1"/>
  <c r="AN39" i="32"/>
  <c r="AM39" i="32"/>
  <c r="AL39" i="32"/>
  <c r="AN30" i="32"/>
  <c r="AM30" i="32"/>
  <c r="AL30" i="32"/>
  <c r="AN18" i="32"/>
  <c r="AM18" i="32"/>
  <c r="AL18" i="32"/>
  <c r="AN16" i="32"/>
  <c r="AM16" i="32"/>
  <c r="AL16" i="32"/>
  <c r="AN51" i="46"/>
  <c r="AN44" i="46"/>
  <c r="AM44" i="46"/>
  <c r="AM51" i="46" s="1"/>
  <c r="AN17" i="46"/>
  <c r="AN26" i="46" s="1"/>
  <c r="AN53" i="46" s="1"/>
  <c r="AN62" i="46" s="1"/>
  <c r="AM42" i="46"/>
  <c r="AM17" i="46" s="1"/>
  <c r="AL42" i="46"/>
  <c r="AL17" i="46" s="1"/>
  <c r="AN40" i="46"/>
  <c r="AM40" i="46"/>
  <c r="AL40" i="46"/>
  <c r="AL44" i="46" s="1"/>
  <c r="AL51" i="46" s="1"/>
  <c r="AN30" i="46"/>
  <c r="AM30" i="46"/>
  <c r="AL30" i="46"/>
  <c r="AN18" i="46"/>
  <c r="AM18" i="46"/>
  <c r="AL18" i="46"/>
  <c r="AN16" i="46"/>
  <c r="AM16" i="46"/>
  <c r="AL16" i="46"/>
  <c r="AO52" i="32" l="1"/>
  <c r="AO61" i="32" s="1"/>
  <c r="AM43" i="32"/>
  <c r="AM50" i="32" s="1"/>
  <c r="AL52" i="51"/>
  <c r="AL61" i="51" s="1"/>
  <c r="AN43" i="32"/>
  <c r="AN50" i="32" s="1"/>
  <c r="AN64" i="32" s="1"/>
  <c r="AH43" i="51"/>
  <c r="AH50" i="51" s="1"/>
  <c r="AI64" i="51"/>
  <c r="AM64" i="32"/>
  <c r="AJ43" i="51"/>
  <c r="AJ50" i="51" s="1"/>
  <c r="AA53" i="54"/>
  <c r="AA62" i="54" s="1"/>
  <c r="AA53" i="50"/>
  <c r="AA62" i="50" s="1"/>
  <c r="V52" i="49"/>
  <c r="V61" i="49" s="1"/>
  <c r="T43" i="49"/>
  <c r="T50" i="49" s="1"/>
  <c r="T64" i="49" s="1"/>
  <c r="W52" i="47"/>
  <c r="W61" i="47" s="1"/>
  <c r="I53" i="56"/>
  <c r="I62" i="56" s="1"/>
  <c r="R43" i="48"/>
  <c r="R50" i="48" s="1"/>
  <c r="R64" i="48" s="1"/>
  <c r="Y44" i="54"/>
  <c r="Y51" i="54" s="1"/>
  <c r="Y65" i="54" s="1"/>
  <c r="S43" i="48"/>
  <c r="S50" i="48" s="1"/>
  <c r="S64" i="48" s="1"/>
  <c r="AI65" i="53"/>
  <c r="X53" i="50"/>
  <c r="X62" i="50" s="1"/>
  <c r="AJ44" i="52"/>
  <c r="AJ51" i="52" s="1"/>
  <c r="AJ65" i="52" s="1"/>
  <c r="AN65" i="46"/>
  <c r="AL43" i="32"/>
  <c r="AL50" i="32" s="1"/>
  <c r="AL64" i="32" s="1"/>
  <c r="W43" i="47"/>
  <c r="W50" i="47" s="1"/>
  <c r="W64" i="47" s="1"/>
  <c r="U52" i="49"/>
  <c r="U61" i="49" s="1"/>
  <c r="H52" i="57"/>
  <c r="H61" i="57" s="1"/>
  <c r="H65" i="56"/>
  <c r="H26" i="56"/>
  <c r="H53" i="56" s="1"/>
  <c r="H62" i="56" s="1"/>
  <c r="J26" i="56"/>
  <c r="J53" i="56" s="1"/>
  <c r="J62" i="56" s="1"/>
  <c r="AJ65" i="53"/>
  <c r="AJ26" i="53"/>
  <c r="AJ53" i="53" s="1"/>
  <c r="AJ62" i="53" s="1"/>
  <c r="AI26" i="53"/>
  <c r="AI53" i="53" s="1"/>
  <c r="AI62" i="53" s="1"/>
  <c r="AJ26" i="52"/>
  <c r="AH65" i="52"/>
  <c r="AH26" i="52"/>
  <c r="AH53" i="52" s="1"/>
  <c r="AH62" i="52" s="1"/>
  <c r="AI26" i="52"/>
  <c r="AI53" i="52" s="1"/>
  <c r="AI62" i="52" s="1"/>
  <c r="AH64" i="51"/>
  <c r="AH25" i="51"/>
  <c r="AH52" i="51" s="1"/>
  <c r="AH61" i="51" s="1"/>
  <c r="AJ64" i="51"/>
  <c r="AJ25" i="51"/>
  <c r="AJ52" i="51" s="1"/>
  <c r="AJ61" i="51" s="1"/>
  <c r="AI25" i="51"/>
  <c r="AI52" i="51" s="1"/>
  <c r="AI61" i="51" s="1"/>
  <c r="Y53" i="50"/>
  <c r="Y62" i="50" s="1"/>
  <c r="T52" i="49"/>
  <c r="T61" i="49" s="1"/>
  <c r="V52" i="47"/>
  <c r="V61" i="47" s="1"/>
  <c r="AL25" i="32"/>
  <c r="AN25" i="32"/>
  <c r="AM25" i="32"/>
  <c r="AM52" i="32" s="1"/>
  <c r="AM61" i="32" s="1"/>
  <c r="AL65" i="46"/>
  <c r="AL26" i="46"/>
  <c r="AL53" i="46" s="1"/>
  <c r="AL62" i="46" s="1"/>
  <c r="AM65" i="46"/>
  <c r="AM26" i="46"/>
  <c r="AM53" i="46" s="1"/>
  <c r="AM62" i="46" s="1"/>
  <c r="AN52" i="32" l="1"/>
  <c r="AN61" i="32" s="1"/>
  <c r="AL52" i="32"/>
  <c r="AL61" i="32" s="1"/>
  <c r="S52" i="48"/>
  <c r="S61" i="48" s="1"/>
  <c r="R52" i="48"/>
  <c r="R61" i="48" s="1"/>
  <c r="AJ53" i="52"/>
  <c r="AJ62" i="52" s="1"/>
  <c r="Y53" i="54"/>
  <c r="Y62" i="54" s="1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V26" i="54"/>
  <c r="V53" i="54" s="1"/>
  <c r="V62" i="54" s="1"/>
  <c r="W18" i="54"/>
  <c r="V18" i="54"/>
  <c r="AG42" i="53"/>
  <c r="AF42" i="53"/>
  <c r="AF17" i="53" s="1"/>
  <c r="AF26" i="53" s="1"/>
  <c r="AE42" i="53"/>
  <c r="AG40" i="53"/>
  <c r="AG44" i="53" s="1"/>
  <c r="AG51" i="53" s="1"/>
  <c r="AG65" i="53" s="1"/>
  <c r="AF40" i="53"/>
  <c r="AF44" i="53" s="1"/>
  <c r="AF51" i="53" s="1"/>
  <c r="AF65" i="53" s="1"/>
  <c r="AE40" i="53"/>
  <c r="AE44" i="53" s="1"/>
  <c r="AE51" i="53" s="1"/>
  <c r="AE65" i="53" s="1"/>
  <c r="AG30" i="53"/>
  <c r="AF30" i="53"/>
  <c r="AE30" i="53"/>
  <c r="AG18" i="53"/>
  <c r="AF18" i="53"/>
  <c r="AE18" i="53"/>
  <c r="AG17" i="53"/>
  <c r="AG26" i="53" s="1"/>
  <c r="AE17" i="53"/>
  <c r="AE26" i="53" s="1"/>
  <c r="AG16" i="53"/>
  <c r="AF16" i="53"/>
  <c r="AE16" i="53"/>
  <c r="AG42" i="52"/>
  <c r="AF42" i="52"/>
  <c r="AE42" i="52"/>
  <c r="AG40" i="52"/>
  <c r="AG44" i="52" s="1"/>
  <c r="AG51" i="52" s="1"/>
  <c r="AF40" i="52"/>
  <c r="AF44" i="52" s="1"/>
  <c r="AF51" i="52" s="1"/>
  <c r="AE40" i="52"/>
  <c r="AE44" i="52" s="1"/>
  <c r="AE51" i="52" s="1"/>
  <c r="AG30" i="52"/>
  <c r="AF30" i="52"/>
  <c r="AE30" i="52"/>
  <c r="AG18" i="52"/>
  <c r="AF18" i="52"/>
  <c r="AE18" i="52"/>
  <c r="AG17" i="52"/>
  <c r="AF17" i="52"/>
  <c r="AE17" i="52"/>
  <c r="AG16" i="52"/>
  <c r="AF16" i="52"/>
  <c r="AE16" i="52"/>
  <c r="AG41" i="51"/>
  <c r="AG17" i="51" s="1"/>
  <c r="AF41" i="51"/>
  <c r="AF17" i="51" s="1"/>
  <c r="AE41" i="51"/>
  <c r="AG39" i="51"/>
  <c r="AF39" i="51"/>
  <c r="AF43" i="51" s="1"/>
  <c r="AF50" i="51" s="1"/>
  <c r="AF64" i="51" s="1"/>
  <c r="AE39" i="51"/>
  <c r="AE43" i="51" s="1"/>
  <c r="AE50" i="51" s="1"/>
  <c r="AG30" i="51"/>
  <c r="AF30" i="51"/>
  <c r="AE30" i="51"/>
  <c r="AG18" i="51"/>
  <c r="AF18" i="51"/>
  <c r="AE18" i="51"/>
  <c r="AE17" i="51"/>
  <c r="AG16" i="51"/>
  <c r="AF16" i="51"/>
  <c r="AE16" i="51"/>
  <c r="W42" i="50"/>
  <c r="W44" i="50" s="1"/>
  <c r="W51" i="50" s="1"/>
  <c r="W65" i="50" s="1"/>
  <c r="V42" i="50"/>
  <c r="V44" i="50" s="1"/>
  <c r="V51" i="50" s="1"/>
  <c r="V65" i="50" s="1"/>
  <c r="W40" i="50"/>
  <c r="V40" i="50"/>
  <c r="W30" i="50"/>
  <c r="V30" i="50"/>
  <c r="W18" i="50"/>
  <c r="W26" i="50" s="1"/>
  <c r="V18" i="50"/>
  <c r="V26" i="50" s="1"/>
  <c r="S41" i="49"/>
  <c r="R41" i="49"/>
  <c r="S39" i="49"/>
  <c r="R39" i="49"/>
  <c r="S30" i="49"/>
  <c r="R30" i="49"/>
  <c r="S18" i="49"/>
  <c r="S25" i="49" s="1"/>
  <c r="R18" i="49"/>
  <c r="R25" i="49" s="1"/>
  <c r="U41" i="47"/>
  <c r="U43" i="47" s="1"/>
  <c r="U50" i="47" s="1"/>
  <c r="U64" i="47" s="1"/>
  <c r="T41" i="47"/>
  <c r="T43" i="47" s="1"/>
  <c r="T50" i="47" s="1"/>
  <c r="T64" i="47" s="1"/>
  <c r="U39" i="47"/>
  <c r="T39" i="47"/>
  <c r="U30" i="47"/>
  <c r="T30" i="47"/>
  <c r="U18" i="47"/>
  <c r="U25" i="47" s="1"/>
  <c r="T18" i="47"/>
  <c r="T25" i="47" s="1"/>
  <c r="AJ44" i="46"/>
  <c r="AJ51" i="46" s="1"/>
  <c r="AK42" i="46"/>
  <c r="AK17" i="46" s="1"/>
  <c r="AJ42" i="46"/>
  <c r="AI42" i="46"/>
  <c r="AI44" i="46" s="1"/>
  <c r="AI51" i="46" s="1"/>
  <c r="AI65" i="46" s="1"/>
  <c r="AK40" i="46"/>
  <c r="AJ40" i="46"/>
  <c r="AI40" i="46"/>
  <c r="AK30" i="46"/>
  <c r="AJ30" i="46"/>
  <c r="AI30" i="46"/>
  <c r="AK18" i="46"/>
  <c r="AJ18" i="46"/>
  <c r="AI18" i="46"/>
  <c r="AJ17" i="46"/>
  <c r="AI17" i="46"/>
  <c r="AK16" i="46"/>
  <c r="AJ16" i="46"/>
  <c r="AI16" i="46"/>
  <c r="AK41" i="32"/>
  <c r="AK17" i="32" s="1"/>
  <c r="AJ41" i="32"/>
  <c r="AJ17" i="32" s="1"/>
  <c r="AI41" i="32"/>
  <c r="AI17" i="32" s="1"/>
  <c r="AK39" i="32"/>
  <c r="AJ39" i="32"/>
  <c r="AI39" i="32"/>
  <c r="AK30" i="32"/>
  <c r="AJ30" i="32"/>
  <c r="AI30" i="32"/>
  <c r="AK18" i="32"/>
  <c r="AJ18" i="32"/>
  <c r="AI18" i="32"/>
  <c r="AK16" i="32"/>
  <c r="AJ16" i="32"/>
  <c r="AI16" i="32"/>
  <c r="AI26" i="46" l="1"/>
  <c r="AJ26" i="46"/>
  <c r="AJ53" i="46" s="1"/>
  <c r="AJ62" i="46" s="1"/>
  <c r="AJ43" i="32"/>
  <c r="AJ50" i="32" s="1"/>
  <c r="AE25" i="51"/>
  <c r="AF25" i="51"/>
  <c r="AI43" i="32"/>
  <c r="AI50" i="32" s="1"/>
  <c r="AI64" i="32" s="1"/>
  <c r="AK43" i="32"/>
  <c r="AK50" i="32" s="1"/>
  <c r="AK64" i="32" s="1"/>
  <c r="AF53" i="53"/>
  <c r="AF62" i="53" s="1"/>
  <c r="AE53" i="53"/>
  <c r="AE62" i="53" s="1"/>
  <c r="AE64" i="51"/>
  <c r="AJ65" i="46"/>
  <c r="U52" i="47"/>
  <c r="U61" i="47" s="1"/>
  <c r="S43" i="49"/>
  <c r="S50" i="49" s="1"/>
  <c r="S64" i="49" s="1"/>
  <c r="T52" i="47"/>
  <c r="T61" i="47" s="1"/>
  <c r="R43" i="49"/>
  <c r="R50" i="49" s="1"/>
  <c r="R64" i="49" s="1"/>
  <c r="V53" i="50"/>
  <c r="V62" i="50" s="1"/>
  <c r="W53" i="50"/>
  <c r="W62" i="50" s="1"/>
  <c r="AG53" i="53"/>
  <c r="AG62" i="53" s="1"/>
  <c r="AE65" i="52"/>
  <c r="AF65" i="52"/>
  <c r="AG65" i="52"/>
  <c r="AE26" i="52"/>
  <c r="AE53" i="52" s="1"/>
  <c r="AE62" i="52" s="1"/>
  <c r="AF26" i="52"/>
  <c r="AF53" i="52" s="1"/>
  <c r="AF62" i="52" s="1"/>
  <c r="AG26" i="52"/>
  <c r="AG53" i="52" s="1"/>
  <c r="AG62" i="52" s="1"/>
  <c r="AE52" i="51"/>
  <c r="AE61" i="51" s="1"/>
  <c r="AG25" i="51"/>
  <c r="AF52" i="51"/>
  <c r="AF61" i="51" s="1"/>
  <c r="AG43" i="51"/>
  <c r="AG50" i="51" s="1"/>
  <c r="AG64" i="51" s="1"/>
  <c r="R52" i="49"/>
  <c r="R61" i="49" s="1"/>
  <c r="S52" i="49"/>
  <c r="S61" i="49" s="1"/>
  <c r="AK26" i="46"/>
  <c r="AI53" i="46"/>
  <c r="AI62" i="46" s="1"/>
  <c r="AK44" i="46"/>
  <c r="AK51" i="46" s="1"/>
  <c r="AK65" i="46" s="1"/>
  <c r="AJ64" i="32"/>
  <c r="AJ25" i="32"/>
  <c r="AJ52" i="32" s="1"/>
  <c r="AJ61" i="32" s="1"/>
  <c r="AI25" i="32"/>
  <c r="AK25" i="32"/>
  <c r="AK52" i="32" l="1"/>
  <c r="AK61" i="32" s="1"/>
  <c r="AI52" i="32"/>
  <c r="AI61" i="32" s="1"/>
  <c r="AG52" i="51"/>
  <c r="AG61" i="51" s="1"/>
  <c r="AK53" i="46"/>
  <c r="AK62" i="46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42" i="56"/>
  <c r="E42" i="56"/>
  <c r="E17" i="56" s="1"/>
  <c r="F40" i="56"/>
  <c r="F44" i="56" s="1"/>
  <c r="F51" i="56" s="1"/>
  <c r="E40" i="56"/>
  <c r="E44" i="56" s="1"/>
  <c r="E51" i="56" s="1"/>
  <c r="F30" i="56"/>
  <c r="E30" i="56"/>
  <c r="F18" i="56"/>
  <c r="E18" i="56"/>
  <c r="F17" i="56"/>
  <c r="F16" i="56"/>
  <c r="E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U18" i="54"/>
  <c r="U26" i="54" s="1"/>
  <c r="T18" i="54"/>
  <c r="T26" i="54" s="1"/>
  <c r="AC42" i="53"/>
  <c r="AC17" i="53" s="1"/>
  <c r="AB42" i="53"/>
  <c r="AB17" i="53" s="1"/>
  <c r="AC40" i="53"/>
  <c r="AC44" i="53" s="1"/>
  <c r="AC51" i="53" s="1"/>
  <c r="AB40" i="53"/>
  <c r="AC30" i="53"/>
  <c r="AB30" i="53"/>
  <c r="AC18" i="53"/>
  <c r="AB18" i="53"/>
  <c r="AC16" i="53"/>
  <c r="AB16" i="53"/>
  <c r="AC42" i="52"/>
  <c r="AC17" i="52" s="1"/>
  <c r="AB42" i="52"/>
  <c r="AB17" i="52" s="1"/>
  <c r="AC40" i="52"/>
  <c r="AC44" i="52" s="1"/>
  <c r="AC51" i="52" s="1"/>
  <c r="AB40" i="52"/>
  <c r="AB44" i="52" s="1"/>
  <c r="AB51" i="52" s="1"/>
  <c r="AC30" i="52"/>
  <c r="AB30" i="52"/>
  <c r="AC18" i="52"/>
  <c r="AB18" i="52"/>
  <c r="AC16" i="52"/>
  <c r="AB16" i="52"/>
  <c r="AC41" i="51"/>
  <c r="AC17" i="51" s="1"/>
  <c r="AB41" i="51"/>
  <c r="AB17" i="51" s="1"/>
  <c r="AC39" i="51"/>
  <c r="AC43" i="51" s="1"/>
  <c r="AC50" i="51" s="1"/>
  <c r="AB39" i="51"/>
  <c r="AC30" i="51"/>
  <c r="AB30" i="51"/>
  <c r="AC18" i="51"/>
  <c r="AB18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U18" i="50"/>
  <c r="U26" i="50" s="1"/>
  <c r="U53" i="50" s="1"/>
  <c r="U62" i="50" s="1"/>
  <c r="T18" i="50"/>
  <c r="T26" i="50" s="1"/>
  <c r="T53" i="50" s="1"/>
  <c r="T62" i="50" s="1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25" i="49"/>
  <c r="Q18" i="49"/>
  <c r="P18" i="49"/>
  <c r="P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Q52" i="48" s="1"/>
  <c r="Q61" i="48" s="1"/>
  <c r="P18" i="48"/>
  <c r="P25" i="48" s="1"/>
  <c r="S41" i="47"/>
  <c r="R41" i="47"/>
  <c r="S39" i="47"/>
  <c r="R39" i="47"/>
  <c r="R43" i="47" s="1"/>
  <c r="R50" i="47" s="1"/>
  <c r="R64" i="47" s="1"/>
  <c r="S30" i="47"/>
  <c r="R30" i="47"/>
  <c r="S18" i="47"/>
  <c r="S25" i="47" s="1"/>
  <c r="R18" i="47"/>
  <c r="R25" i="47" s="1"/>
  <c r="AD42" i="46"/>
  <c r="AD17" i="46" s="1"/>
  <c r="AD65" i="46" s="1"/>
  <c r="AC42" i="46"/>
  <c r="AC17" i="46" s="1"/>
  <c r="AD40" i="46"/>
  <c r="AD44" i="46" s="1"/>
  <c r="AD51" i="46" s="1"/>
  <c r="AC40" i="46"/>
  <c r="AC44" i="46" s="1"/>
  <c r="AC51" i="46" s="1"/>
  <c r="AD30" i="46"/>
  <c r="AC30" i="46"/>
  <c r="AD18" i="46"/>
  <c r="AC18" i="46"/>
  <c r="AD16" i="46"/>
  <c r="AC16" i="46"/>
  <c r="AD41" i="32"/>
  <c r="AD17" i="32" s="1"/>
  <c r="AC41" i="32"/>
  <c r="AC17" i="32" s="1"/>
  <c r="AD39" i="32"/>
  <c r="AD43" i="32" s="1"/>
  <c r="AD50" i="32" s="1"/>
  <c r="AC39" i="32"/>
  <c r="AC43" i="32" s="1"/>
  <c r="AC50" i="32" s="1"/>
  <c r="AD30" i="32"/>
  <c r="AC30" i="32"/>
  <c r="AD18" i="32"/>
  <c r="AC18" i="32"/>
  <c r="AD16" i="32"/>
  <c r="AC16" i="32"/>
  <c r="AC64" i="51" l="1"/>
  <c r="AB43" i="51"/>
  <c r="AB50" i="51" s="1"/>
  <c r="AB64" i="51" s="1"/>
  <c r="S43" i="47"/>
  <c r="S50" i="47" s="1"/>
  <c r="S64" i="47" s="1"/>
  <c r="AB44" i="53"/>
  <c r="AB51" i="53" s="1"/>
  <c r="G52" i="57"/>
  <c r="G61" i="57" s="1"/>
  <c r="T53" i="54"/>
  <c r="T62" i="54" s="1"/>
  <c r="R52" i="47"/>
  <c r="R61" i="47" s="1"/>
  <c r="P52" i="48"/>
  <c r="P61" i="48" s="1"/>
  <c r="U53" i="54"/>
  <c r="U62" i="54" s="1"/>
  <c r="F52" i="57"/>
  <c r="F61" i="57" s="1"/>
  <c r="E65" i="56"/>
  <c r="E26" i="56"/>
  <c r="E53" i="56" s="1"/>
  <c r="E62" i="56" s="1"/>
  <c r="F65" i="56"/>
  <c r="F26" i="56"/>
  <c r="F53" i="56" s="1"/>
  <c r="F62" i="56" s="1"/>
  <c r="AB65" i="53"/>
  <c r="AB26" i="53"/>
  <c r="AB53" i="53" s="1"/>
  <c r="AB62" i="53" s="1"/>
  <c r="AC65" i="53"/>
  <c r="AC26" i="53"/>
  <c r="AC53" i="53" s="1"/>
  <c r="AC62" i="53" s="1"/>
  <c r="AB65" i="52"/>
  <c r="AC65" i="52"/>
  <c r="AB26" i="52"/>
  <c r="AB53" i="52" s="1"/>
  <c r="AB62" i="52" s="1"/>
  <c r="AC26" i="52"/>
  <c r="AC53" i="52" s="1"/>
  <c r="AC62" i="52" s="1"/>
  <c r="AC25" i="51"/>
  <c r="AC52" i="51" s="1"/>
  <c r="AC61" i="51" s="1"/>
  <c r="AB25" i="51"/>
  <c r="Q52" i="49"/>
  <c r="Q61" i="49" s="1"/>
  <c r="P52" i="49"/>
  <c r="P61" i="49" s="1"/>
  <c r="S52" i="47"/>
  <c r="S61" i="47" s="1"/>
  <c r="AC65" i="46"/>
  <c r="AC26" i="46"/>
  <c r="AC53" i="46" s="1"/>
  <c r="AC62" i="46" s="1"/>
  <c r="AD26" i="46"/>
  <c r="AD53" i="46" s="1"/>
  <c r="AD62" i="46" s="1"/>
  <c r="AC25" i="32"/>
  <c r="AC52" i="32" s="1"/>
  <c r="AC61" i="32" s="1"/>
  <c r="AC64" i="32"/>
  <c r="AD64" i="32"/>
  <c r="AD25" i="32"/>
  <c r="AD52" i="32" s="1"/>
  <c r="AD61" i="32" s="1"/>
  <c r="AB52" i="51" l="1"/>
  <c r="AB61" i="51" s="1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Y40" i="53"/>
  <c r="AA30" i="53"/>
  <c r="Z30" i="53"/>
  <c r="Y30" i="53"/>
  <c r="AA18" i="53"/>
  <c r="Z18" i="53"/>
  <c r="Y18" i="53"/>
  <c r="Z17" i="53"/>
  <c r="Y17" i="53"/>
  <c r="AA16" i="53"/>
  <c r="Z16" i="53"/>
  <c r="Y16" i="53"/>
  <c r="AA42" i="52"/>
  <c r="AA17" i="52" s="1"/>
  <c r="Z42" i="52"/>
  <c r="Z17" i="52" s="1"/>
  <c r="Y42" i="52"/>
  <c r="Y17" i="52" s="1"/>
  <c r="AA40" i="52"/>
  <c r="AA44" i="52" s="1"/>
  <c r="AA51" i="52" s="1"/>
  <c r="Z40" i="52"/>
  <c r="Z44" i="52" s="1"/>
  <c r="Z51" i="52" s="1"/>
  <c r="Y40" i="52"/>
  <c r="AA30" i="52"/>
  <c r="Z30" i="52"/>
  <c r="Y30" i="52"/>
  <c r="AA18" i="52"/>
  <c r="Z18" i="52"/>
  <c r="Y18" i="52"/>
  <c r="AA16" i="52"/>
  <c r="Z16" i="52"/>
  <c r="Y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R44" i="50" s="1"/>
  <c r="R51" i="50" s="1"/>
  <c r="R65" i="50" s="1"/>
  <c r="S40" i="50"/>
  <c r="R40" i="50"/>
  <c r="S30" i="50"/>
  <c r="R30" i="50"/>
  <c r="S18" i="50"/>
  <c r="S26" i="50" s="1"/>
  <c r="R18" i="50"/>
  <c r="R26" i="50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A40" i="46"/>
  <c r="Z40" i="46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Z17" i="32" s="1"/>
  <c r="AB39" i="32"/>
  <c r="AA39" i="32"/>
  <c r="AA43" i="32" s="1"/>
  <c r="AA50" i="32" s="1"/>
  <c r="Z39" i="32"/>
  <c r="AB30" i="32"/>
  <c r="AA30" i="32"/>
  <c r="Z30" i="32"/>
  <c r="AB18" i="32"/>
  <c r="AA18" i="32"/>
  <c r="Z18" i="32"/>
  <c r="AB16" i="32"/>
  <c r="AA16" i="32"/>
  <c r="Z16" i="32"/>
  <c r="AB43" i="32" l="1"/>
  <c r="AB50" i="32" s="1"/>
  <c r="AB64" i="32" s="1"/>
  <c r="S44" i="50"/>
  <c r="S51" i="50" s="1"/>
  <c r="S65" i="50" s="1"/>
  <c r="AB44" i="46"/>
  <c r="AB51" i="46" s="1"/>
  <c r="Y44" i="53"/>
  <c r="Y51" i="53" s="1"/>
  <c r="R53" i="50"/>
  <c r="R62" i="50" s="1"/>
  <c r="AA44" i="46"/>
  <c r="AA51" i="46" s="1"/>
  <c r="AA65" i="46" s="1"/>
  <c r="Z26" i="46"/>
  <c r="O52" i="48"/>
  <c r="O61" i="48" s="1"/>
  <c r="Z44" i="53"/>
  <c r="Z51" i="53" s="1"/>
  <c r="Z65" i="53" s="1"/>
  <c r="Z65" i="52"/>
  <c r="S53" i="50"/>
  <c r="S62" i="50" s="1"/>
  <c r="Y65" i="53"/>
  <c r="P52" i="47"/>
  <c r="P61" i="47" s="1"/>
  <c r="Z43" i="32"/>
  <c r="Z50" i="32" s="1"/>
  <c r="Z64" i="32" s="1"/>
  <c r="Q52" i="47"/>
  <c r="Q61" i="47" s="1"/>
  <c r="Y43" i="51"/>
  <c r="Y50" i="51" s="1"/>
  <c r="Y64" i="51" s="1"/>
  <c r="R53" i="54"/>
  <c r="R62" i="54" s="1"/>
  <c r="Z44" i="46"/>
  <c r="Z51" i="46" s="1"/>
  <c r="Z65" i="46" s="1"/>
  <c r="N52" i="48"/>
  <c r="N61" i="48" s="1"/>
  <c r="Z43" i="51"/>
  <c r="Z50" i="51" s="1"/>
  <c r="Z64" i="51" s="1"/>
  <c r="Y44" i="52"/>
  <c r="Y51" i="52" s="1"/>
  <c r="Y65" i="52" s="1"/>
  <c r="S53" i="54"/>
  <c r="S62" i="54" s="1"/>
  <c r="AA65" i="53"/>
  <c r="AA26" i="53"/>
  <c r="AA53" i="53" s="1"/>
  <c r="AA62" i="53" s="1"/>
  <c r="Y26" i="53"/>
  <c r="Z26" i="53"/>
  <c r="AA65" i="52"/>
  <c r="AA26" i="52"/>
  <c r="AA53" i="52" s="1"/>
  <c r="AA62" i="52" s="1"/>
  <c r="Y26" i="52"/>
  <c r="Z26" i="52"/>
  <c r="Z53" i="52" s="1"/>
  <c r="Z62" i="52" s="1"/>
  <c r="AA64" i="51"/>
  <c r="AA25" i="51"/>
  <c r="AA52" i="51" s="1"/>
  <c r="AA61" i="51" s="1"/>
  <c r="Y25" i="51"/>
  <c r="Z25" i="51"/>
  <c r="Z53" i="46"/>
  <c r="Z62" i="46" s="1"/>
  <c r="AB26" i="46"/>
  <c r="AB53" i="46" s="1"/>
  <c r="AB62" i="46" s="1"/>
  <c r="AB65" i="46"/>
  <c r="AA26" i="46"/>
  <c r="AA64" i="32"/>
  <c r="Z25" i="32"/>
  <c r="AA25" i="32"/>
  <c r="AA52" i="32" s="1"/>
  <c r="AA61" i="32" s="1"/>
  <c r="AB25" i="32"/>
  <c r="AB52" i="32" l="1"/>
  <c r="AB61" i="32" s="1"/>
  <c r="Y52" i="51"/>
  <c r="Y61" i="51" s="1"/>
  <c r="Y53" i="52"/>
  <c r="Y62" i="52" s="1"/>
  <c r="AA53" i="46"/>
  <c r="AA62" i="46" s="1"/>
  <c r="Z53" i="53"/>
  <c r="Z62" i="53" s="1"/>
  <c r="Y53" i="53"/>
  <c r="Y62" i="53" s="1"/>
  <c r="Z52" i="32"/>
  <c r="Z61" i="32" s="1"/>
  <c r="Z52" i="51"/>
  <c r="Z61" i="51" s="1"/>
  <c r="E41" i="57"/>
  <c r="D41" i="57"/>
  <c r="E39" i="57"/>
  <c r="E43" i="57" s="1"/>
  <c r="E50" i="57" s="1"/>
  <c r="E64" i="57" s="1"/>
  <c r="D39" i="57"/>
  <c r="E30" i="57"/>
  <c r="D30" i="57"/>
  <c r="E18" i="57"/>
  <c r="E25" i="57" s="1"/>
  <c r="D18" i="57"/>
  <c r="D25" i="57" s="1"/>
  <c r="Q42" i="54"/>
  <c r="P42" i="54"/>
  <c r="Q40" i="54"/>
  <c r="Q44" i="54" s="1"/>
  <c r="Q51" i="54" s="1"/>
  <c r="Q65" i="54" s="1"/>
  <c r="P40" i="54"/>
  <c r="Q30" i="54"/>
  <c r="P30" i="54"/>
  <c r="Q18" i="54"/>
  <c r="Q26" i="54" s="1"/>
  <c r="P18" i="54"/>
  <c r="P26" i="54" s="1"/>
  <c r="X42" i="53"/>
  <c r="W42" i="53"/>
  <c r="W17" i="53" s="1"/>
  <c r="V42" i="53"/>
  <c r="X40" i="53"/>
  <c r="W40" i="53"/>
  <c r="V40" i="53"/>
  <c r="V44" i="53" s="1"/>
  <c r="V51" i="53" s="1"/>
  <c r="X30" i="53"/>
  <c r="W30" i="53"/>
  <c r="V30" i="53"/>
  <c r="X18" i="53"/>
  <c r="W18" i="53"/>
  <c r="V18" i="53"/>
  <c r="X17" i="53"/>
  <c r="V17" i="53"/>
  <c r="X16" i="53"/>
  <c r="W16" i="53"/>
  <c r="V16" i="53"/>
  <c r="X42" i="52"/>
  <c r="W42" i="52"/>
  <c r="W17" i="52" s="1"/>
  <c r="V42" i="52"/>
  <c r="V17" i="52" s="1"/>
  <c r="X40" i="52"/>
  <c r="W40" i="52"/>
  <c r="W44" i="52" s="1"/>
  <c r="W51" i="52" s="1"/>
  <c r="V40" i="52"/>
  <c r="X30" i="52"/>
  <c r="W30" i="52"/>
  <c r="V30" i="52"/>
  <c r="X18" i="52"/>
  <c r="W18" i="52"/>
  <c r="V18" i="52"/>
  <c r="X17" i="52"/>
  <c r="X16" i="52"/>
  <c r="W16" i="52"/>
  <c r="V16" i="52"/>
  <c r="X41" i="51"/>
  <c r="X17" i="51" s="1"/>
  <c r="W41" i="51"/>
  <c r="W17" i="51" s="1"/>
  <c r="V41" i="51"/>
  <c r="V17" i="51" s="1"/>
  <c r="X39" i="51"/>
  <c r="W39" i="51"/>
  <c r="W43" i="51" s="1"/>
  <c r="W50" i="51" s="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O41" i="49"/>
  <c r="N41" i="49"/>
  <c r="O39" i="49"/>
  <c r="N39" i="49"/>
  <c r="O30" i="49"/>
  <c r="N30" i="49"/>
  <c r="O18" i="49"/>
  <c r="O25" i="49" s="1"/>
  <c r="N18" i="49"/>
  <c r="N25" i="49" s="1"/>
  <c r="O41" i="47"/>
  <c r="N41" i="47"/>
  <c r="O39" i="47"/>
  <c r="N39" i="47"/>
  <c r="O30" i="47"/>
  <c r="N30" i="47"/>
  <c r="O18" i="47"/>
  <c r="O25" i="47" s="1"/>
  <c r="N18" i="47"/>
  <c r="N25" i="47" s="1"/>
  <c r="Y42" i="46"/>
  <c r="Y17" i="46" s="1"/>
  <c r="X42" i="46"/>
  <c r="W42" i="46"/>
  <c r="Y40" i="46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X17" i="46"/>
  <c r="W17" i="46"/>
  <c r="Y16" i="46"/>
  <c r="X16" i="46"/>
  <c r="W16" i="46"/>
  <c r="Y41" i="32"/>
  <c r="X41" i="32"/>
  <c r="X17" i="32" s="1"/>
  <c r="W41" i="32"/>
  <c r="W17" i="32" s="1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Y18" i="32"/>
  <c r="X18" i="32"/>
  <c r="W18" i="32"/>
  <c r="Y17" i="32"/>
  <c r="Y16" i="32"/>
  <c r="X16" i="32"/>
  <c r="W16" i="32"/>
  <c r="W25" i="32" l="1"/>
  <c r="W52" i="32" s="1"/>
  <c r="W61" i="32" s="1"/>
  <c r="X25" i="51"/>
  <c r="N43" i="49"/>
  <c r="N50" i="49" s="1"/>
  <c r="N64" i="49" s="1"/>
  <c r="O43" i="49"/>
  <c r="O50" i="49" s="1"/>
  <c r="O64" i="49" s="1"/>
  <c r="D43" i="57"/>
  <c r="D50" i="57" s="1"/>
  <c r="D64" i="57" s="1"/>
  <c r="N43" i="47"/>
  <c r="N50" i="47" s="1"/>
  <c r="N64" i="47" s="1"/>
  <c r="P53" i="50"/>
  <c r="P62" i="50" s="1"/>
  <c r="X44" i="52"/>
  <c r="X51" i="52" s="1"/>
  <c r="X65" i="52" s="1"/>
  <c r="Y64" i="32"/>
  <c r="O43" i="47"/>
  <c r="O50" i="47" s="1"/>
  <c r="O64" i="47" s="1"/>
  <c r="Q53" i="50"/>
  <c r="Q62" i="50" s="1"/>
  <c r="P44" i="54"/>
  <c r="P51" i="54" s="1"/>
  <c r="P65" i="54" s="1"/>
  <c r="W44" i="53"/>
  <c r="W51" i="53" s="1"/>
  <c r="Y44" i="46"/>
  <c r="Y51" i="46" s="1"/>
  <c r="Q44" i="50"/>
  <c r="Q51" i="50" s="1"/>
  <c r="Q65" i="50" s="1"/>
  <c r="V43" i="51"/>
  <c r="V50" i="51" s="1"/>
  <c r="V64" i="51" s="1"/>
  <c r="X44" i="53"/>
  <c r="X51" i="53" s="1"/>
  <c r="X65" i="53" s="1"/>
  <c r="W65" i="46"/>
  <c r="X65" i="46"/>
  <c r="X43" i="51"/>
  <c r="X50" i="51" s="1"/>
  <c r="X64" i="51" s="1"/>
  <c r="D52" i="57"/>
  <c r="D61" i="57" s="1"/>
  <c r="V65" i="53"/>
  <c r="V44" i="52"/>
  <c r="V51" i="52" s="1"/>
  <c r="V65" i="52" s="1"/>
  <c r="E52" i="57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V25" i="5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64" i="32"/>
  <c r="X64" i="32"/>
  <c r="X25" i="32"/>
  <c r="X52" i="32" s="1"/>
  <c r="X61" i="32" s="1"/>
  <c r="Y25" i="32"/>
  <c r="Y52" i="32" s="1"/>
  <c r="Y61" i="32" s="1"/>
  <c r="O52" i="47" l="1"/>
  <c r="O61" i="47" s="1"/>
  <c r="V52" i="51"/>
  <c r="V61" i="51" s="1"/>
  <c r="O52" i="49"/>
  <c r="O61" i="49" s="1"/>
  <c r="X53" i="52"/>
  <c r="X62" i="52" s="1"/>
  <c r="N52" i="47"/>
  <c r="N61" i="47" s="1"/>
  <c r="X52" i="51"/>
  <c r="X61" i="51" s="1"/>
  <c r="S16" i="52"/>
  <c r="T16" i="52"/>
  <c r="U16" i="52"/>
  <c r="S18" i="52"/>
  <c r="T18" i="52"/>
  <c r="U18" i="52"/>
  <c r="S30" i="52"/>
  <c r="T30" i="52"/>
  <c r="U30" i="52"/>
  <c r="S40" i="52"/>
  <c r="T40" i="52"/>
  <c r="U40" i="52"/>
  <c r="S42" i="52"/>
  <c r="S17" i="52" s="1"/>
  <c r="T42" i="52"/>
  <c r="T17" i="52" s="1"/>
  <c r="T26" i="52" s="1"/>
  <c r="U42" i="52"/>
  <c r="U17" i="52" s="1"/>
  <c r="S16" i="53"/>
  <c r="T16" i="53"/>
  <c r="U16" i="53"/>
  <c r="S17" i="53"/>
  <c r="S18" i="53"/>
  <c r="T18" i="53"/>
  <c r="U18" i="53"/>
  <c r="S30" i="53"/>
  <c r="T30" i="53"/>
  <c r="U30" i="53"/>
  <c r="S40" i="53"/>
  <c r="T40" i="53"/>
  <c r="U40" i="53"/>
  <c r="S42" i="53"/>
  <c r="T42" i="53"/>
  <c r="T17" i="53" s="1"/>
  <c r="U42" i="53"/>
  <c r="U17" i="53" s="1"/>
  <c r="O42" i="54"/>
  <c r="N42" i="54"/>
  <c r="O40" i="54"/>
  <c r="N40" i="54"/>
  <c r="O30" i="54"/>
  <c r="N30" i="54"/>
  <c r="O18" i="54"/>
  <c r="O26" i="54" s="1"/>
  <c r="N18" i="54"/>
  <c r="N26" i="54" s="1"/>
  <c r="U41" i="51"/>
  <c r="U17" i="51" s="1"/>
  <c r="T41" i="51"/>
  <c r="S41" i="51"/>
  <c r="S17" i="51" s="1"/>
  <c r="U39" i="51"/>
  <c r="T39" i="51"/>
  <c r="S39" i="51"/>
  <c r="U30" i="51"/>
  <c r="T30" i="51"/>
  <c r="S30" i="51"/>
  <c r="U18" i="51"/>
  <c r="T18" i="51"/>
  <c r="S18" i="51"/>
  <c r="U16" i="51"/>
  <c r="T16" i="51"/>
  <c r="S16" i="51"/>
  <c r="S43" i="51" l="1"/>
  <c r="S50" i="51" s="1"/>
  <c r="U44" i="52"/>
  <c r="U51" i="52" s="1"/>
  <c r="S44" i="52"/>
  <c r="S51" i="52" s="1"/>
  <c r="S65" i="52" s="1"/>
  <c r="T44" i="52"/>
  <c r="T51" i="52" s="1"/>
  <c r="T26" i="53"/>
  <c r="T43" i="51"/>
  <c r="T50" i="51" s="1"/>
  <c r="U65" i="52"/>
  <c r="S26" i="52"/>
  <c r="S53" i="52" s="1"/>
  <c r="S62" i="52" s="1"/>
  <c r="U44" i="53"/>
  <c r="U51" i="53" s="1"/>
  <c r="S26" i="53"/>
  <c r="S53" i="53" s="1"/>
  <c r="S62" i="53" s="1"/>
  <c r="U43" i="51"/>
  <c r="U50" i="51" s="1"/>
  <c r="N44" i="54"/>
  <c r="N51" i="54" s="1"/>
  <c r="N65" i="54" s="1"/>
  <c r="T44" i="53"/>
  <c r="T51" i="53" s="1"/>
  <c r="T65" i="53" s="1"/>
  <c r="O44" i="54"/>
  <c r="O51" i="54" s="1"/>
  <c r="O65" i="54" s="1"/>
  <c r="S44" i="53"/>
  <c r="S51" i="53" s="1"/>
  <c r="S65" i="53" s="1"/>
  <c r="U26" i="53"/>
  <c r="T53" i="52"/>
  <c r="T62" i="52" s="1"/>
  <c r="U26" i="52"/>
  <c r="U53" i="52" s="1"/>
  <c r="U62" i="52" s="1"/>
  <c r="T65" i="52"/>
  <c r="U53" i="53"/>
  <c r="U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N18" i="50"/>
  <c r="N26" i="50" s="1"/>
  <c r="V42" i="46"/>
  <c r="V17" i="46" s="1"/>
  <c r="U42" i="46"/>
  <c r="T42" i="46"/>
  <c r="T17" i="46" s="1"/>
  <c r="V40" i="46"/>
  <c r="U40" i="46"/>
  <c r="T40" i="46"/>
  <c r="V30" i="46"/>
  <c r="U30" i="46"/>
  <c r="T30" i="46"/>
  <c r="V18" i="46"/>
  <c r="U18" i="46"/>
  <c r="T18" i="46"/>
  <c r="V16" i="46"/>
  <c r="U16" i="46"/>
  <c r="T16" i="46"/>
  <c r="V41" i="32"/>
  <c r="U41" i="32"/>
  <c r="U17" i="32" s="1"/>
  <c r="T41" i="32"/>
  <c r="V39" i="32"/>
  <c r="V43" i="32" s="1"/>
  <c r="V50" i="32" s="1"/>
  <c r="U39" i="32"/>
  <c r="U43" i="32" s="1"/>
  <c r="U50" i="32" s="1"/>
  <c r="T39" i="32"/>
  <c r="V30" i="32"/>
  <c r="U30" i="32"/>
  <c r="T30" i="32"/>
  <c r="V18" i="32"/>
  <c r="U18" i="32"/>
  <c r="T18" i="32"/>
  <c r="V17" i="32"/>
  <c r="V16" i="32"/>
  <c r="U16" i="32"/>
  <c r="T16" i="32"/>
  <c r="T43" i="32" l="1"/>
  <c r="T50" i="32" s="1"/>
  <c r="V64" i="32"/>
  <c r="V44" i="46"/>
  <c r="V51" i="46" s="1"/>
  <c r="V65" i="46" s="1"/>
  <c r="N53" i="54"/>
  <c r="N62" i="54" s="1"/>
  <c r="U44" i="46"/>
  <c r="U51" i="46" s="1"/>
  <c r="O53" i="50"/>
  <c r="O62" i="50" s="1"/>
  <c r="T44" i="46"/>
  <c r="T51" i="46" s="1"/>
  <c r="T65" i="46" s="1"/>
  <c r="T53" i="53"/>
  <c r="T62" i="53" s="1"/>
  <c r="T64" i="51"/>
  <c r="T25" i="51"/>
  <c r="T52" i="51" s="1"/>
  <c r="T61" i="51" s="1"/>
  <c r="N53" i="50"/>
  <c r="N62" i="50" s="1"/>
  <c r="T26" i="46"/>
  <c r="V26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L40" i="54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L25" i="49"/>
  <c r="M18" i="49"/>
  <c r="M25" i="49" s="1"/>
  <c r="L18" i="49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Q40" i="46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M44" i="54" l="1"/>
  <c r="M51" i="54" s="1"/>
  <c r="M65" i="54" s="1"/>
  <c r="Q44" i="53"/>
  <c r="Q51" i="53" s="1"/>
  <c r="L43" i="49"/>
  <c r="L50" i="49" s="1"/>
  <c r="L64" i="49" s="1"/>
  <c r="P43" i="51"/>
  <c r="P50" i="51" s="1"/>
  <c r="P64" i="51" s="1"/>
  <c r="M43" i="49"/>
  <c r="M50" i="49" s="1"/>
  <c r="M64" i="49" s="1"/>
  <c r="V53" i="46"/>
  <c r="V62" i="46" s="1"/>
  <c r="R44" i="46"/>
  <c r="R51" i="46" s="1"/>
  <c r="R65" i="46" s="1"/>
  <c r="P44" i="53"/>
  <c r="P51" i="53" s="1"/>
  <c r="P65" i="53" s="1"/>
  <c r="Q25" i="32"/>
  <c r="Q52" i="32" s="1"/>
  <c r="Q61" i="32" s="1"/>
  <c r="S43" i="32"/>
  <c r="S50" i="32" s="1"/>
  <c r="S64" i="32" s="1"/>
  <c r="L43" i="47"/>
  <c r="L50" i="47" s="1"/>
  <c r="L64" i="47" s="1"/>
  <c r="L43" i="48"/>
  <c r="L50" i="48" s="1"/>
  <c r="L64" i="48" s="1"/>
  <c r="L44" i="54"/>
  <c r="L51" i="54" s="1"/>
  <c r="L65" i="54" s="1"/>
  <c r="Q44" i="52"/>
  <c r="Q51" i="52" s="1"/>
  <c r="R44" i="53"/>
  <c r="R51" i="53" s="1"/>
  <c r="T53" i="46"/>
  <c r="T62" i="46" s="1"/>
  <c r="U65" i="46"/>
  <c r="U26" i="46"/>
  <c r="U53" i="46" s="1"/>
  <c r="U62" i="46" s="1"/>
  <c r="T64" i="32"/>
  <c r="T25" i="32"/>
  <c r="T52" i="32" s="1"/>
  <c r="T61" i="32" s="1"/>
  <c r="M53" i="54"/>
  <c r="M62" i="54" s="1"/>
  <c r="Q44" i="46"/>
  <c r="Q51" i="46" s="1"/>
  <c r="Q65" i="46" s="1"/>
  <c r="R43" i="32"/>
  <c r="R50" i="32" s="1"/>
  <c r="R64" i="32" s="1"/>
  <c r="Q43" i="51"/>
  <c r="Q50" i="51" s="1"/>
  <c r="Q64" i="51" s="1"/>
  <c r="L52" i="49"/>
  <c r="L61" i="49" s="1"/>
  <c r="P25" i="51"/>
  <c r="Q26" i="46"/>
  <c r="S44" i="46"/>
  <c r="S51" i="46" s="1"/>
  <c r="S65" i="46" s="1"/>
  <c r="M43" i="47"/>
  <c r="M50" i="47" s="1"/>
  <c r="M64" i="47" s="1"/>
  <c r="M43" i="48"/>
  <c r="M50" i="48" s="1"/>
  <c r="M64" i="48" s="1"/>
  <c r="R43" i="51"/>
  <c r="R50" i="51" s="1"/>
  <c r="R64" i="51" s="1"/>
  <c r="L44" i="50"/>
  <c r="L51" i="50" s="1"/>
  <c r="L65" i="50" s="1"/>
  <c r="P44" i="52"/>
  <c r="P51" i="52" s="1"/>
  <c r="P65" i="52" s="1"/>
  <c r="P26" i="53"/>
  <c r="Q17" i="53"/>
  <c r="R17" i="53"/>
  <c r="P26" i="52"/>
  <c r="R26" i="52"/>
  <c r="R53" i="52" s="1"/>
  <c r="R62" i="52" s="1"/>
  <c r="R65" i="52"/>
  <c r="Q17" i="52"/>
  <c r="Q25" i="51"/>
  <c r="Q52" i="51" s="1"/>
  <c r="Q61" i="51" s="1"/>
  <c r="R25" i="51"/>
  <c r="M53" i="50"/>
  <c r="M62" i="50" s="1"/>
  <c r="S26" i="46"/>
  <c r="R26" i="46"/>
  <c r="R53" i="46" s="1"/>
  <c r="R62" i="46" s="1"/>
  <c r="Q64" i="32"/>
  <c r="S25" i="32"/>
  <c r="R25" i="32"/>
  <c r="R52" i="51" l="1"/>
  <c r="R61" i="51" s="1"/>
  <c r="P52" i="51"/>
  <c r="P61" i="51" s="1"/>
  <c r="R52" i="32"/>
  <c r="R61" i="32" s="1"/>
  <c r="L52" i="47"/>
  <c r="L61" i="47" s="1"/>
  <c r="S53" i="46"/>
  <c r="S62" i="46" s="1"/>
  <c r="P53" i="53"/>
  <c r="P62" i="53" s="1"/>
  <c r="L52" i="48"/>
  <c r="L61" i="48" s="1"/>
  <c r="M52" i="47"/>
  <c r="M61" i="47" s="1"/>
  <c r="M52" i="49"/>
  <c r="M61" i="49" s="1"/>
  <c r="S52" i="32"/>
  <c r="S61" i="32" s="1"/>
  <c r="L53" i="54"/>
  <c r="L62" i="54" s="1"/>
  <c r="Q53" i="46"/>
  <c r="Q62" i="46" s="1"/>
  <c r="L53" i="50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K42" i="54"/>
  <c r="J42" i="54"/>
  <c r="K40" i="54"/>
  <c r="J40" i="54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O17" i="52" s="1"/>
  <c r="N42" i="52"/>
  <c r="N17" i="52" s="1"/>
  <c r="M42" i="52"/>
  <c r="M17" i="52" s="1"/>
  <c r="O40" i="52"/>
  <c r="N40" i="52"/>
  <c r="M40" i="52"/>
  <c r="O30" i="52"/>
  <c r="N30" i="52"/>
  <c r="M30" i="52"/>
  <c r="O21" i="52"/>
  <c r="N21" i="52"/>
  <c r="M21" i="52"/>
  <c r="O18" i="52"/>
  <c r="N18" i="52"/>
  <c r="M18" i="52"/>
  <c r="O16" i="52"/>
  <c r="N16" i="52"/>
  <c r="M16" i="52"/>
  <c r="M44" i="52" l="1"/>
  <c r="M51" i="52" s="1"/>
  <c r="M65" i="52" s="1"/>
  <c r="C44" i="56"/>
  <c r="C51" i="56" s="1"/>
  <c r="N44" i="52"/>
  <c r="N51" i="52" s="1"/>
  <c r="N65" i="52" s="1"/>
  <c r="O44" i="52"/>
  <c r="O51" i="52" s="1"/>
  <c r="C26" i="56"/>
  <c r="C53" i="56" s="1"/>
  <c r="C62" i="56" s="1"/>
  <c r="J44" i="54"/>
  <c r="J51" i="54" s="1"/>
  <c r="J65" i="54" s="1"/>
  <c r="O65" i="52"/>
  <c r="N44" i="53"/>
  <c r="N51" i="53" s="1"/>
  <c r="N65" i="53" s="1"/>
  <c r="D44" i="56"/>
  <c r="D51" i="56" s="1"/>
  <c r="D65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K44" i="54"/>
  <c r="K51" i="54" s="1"/>
  <c r="K65" i="54" s="1"/>
  <c r="B43" i="57"/>
  <c r="B50" i="57" s="1"/>
  <c r="B64" i="57" s="1"/>
  <c r="C43" i="57"/>
  <c r="C50" i="57" s="1"/>
  <c r="C64" i="57" s="1"/>
  <c r="N26" i="53"/>
  <c r="N53" i="53" s="1"/>
  <c r="N62" i="53" s="1"/>
  <c r="M44" i="53"/>
  <c r="M51" i="53" s="1"/>
  <c r="M65" i="53" s="1"/>
  <c r="B44" i="56"/>
  <c r="B51" i="56" s="1"/>
  <c r="B65" i="56" s="1"/>
  <c r="B26" i="56"/>
  <c r="D26" i="56"/>
  <c r="M26" i="53"/>
  <c r="O26" i="53"/>
  <c r="N26" i="52"/>
  <c r="N53" i="52" l="1"/>
  <c r="N62" i="52" s="1"/>
  <c r="J53" i="54"/>
  <c r="J62" i="54" s="1"/>
  <c r="D53" i="56"/>
  <c r="D62" i="56" s="1"/>
  <c r="O53" i="53"/>
  <c r="O62" i="53" s="1"/>
  <c r="K53" i="54"/>
  <c r="K62" i="54" s="1"/>
  <c r="B52" i="57"/>
  <c r="B61" i="57" s="1"/>
  <c r="B53" i="56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N39" i="5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N44" i="46" l="1"/>
  <c r="N51" i="46" s="1"/>
  <c r="N43" i="51"/>
  <c r="N50" i="51" s="1"/>
  <c r="N64" i="51" s="1"/>
  <c r="O43" i="51"/>
  <c r="O50" i="51" s="1"/>
  <c r="O64" i="51" s="1"/>
  <c r="J64" i="49"/>
  <c r="N43" i="32"/>
  <c r="N50" i="32" s="1"/>
  <c r="N64" i="32" s="1"/>
  <c r="P43" i="32"/>
  <c r="P50" i="32" s="1"/>
  <c r="P64" i="32" s="1"/>
  <c r="K44" i="50"/>
  <c r="K51" i="50" s="1"/>
  <c r="K65" i="50" s="1"/>
  <c r="M43" i="51"/>
  <c r="M50" i="51" s="1"/>
  <c r="M64" i="51" s="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25" i="51"/>
  <c r="N25" i="51"/>
  <c r="N52" i="51" s="1"/>
  <c r="N61" i="51" s="1"/>
  <c r="O25" i="51"/>
  <c r="O52" i="51" s="1"/>
  <c r="O61" i="51" s="1"/>
  <c r="K53" i="50"/>
  <c r="K62" i="50" s="1"/>
  <c r="J52" i="49"/>
  <c r="J61" i="49" s="1"/>
  <c r="N65" i="46"/>
  <c r="N26" i="46"/>
  <c r="N53" i="46" s="1"/>
  <c r="N62" i="46" s="1"/>
  <c r="O26" i="46"/>
  <c r="O53" i="46" s="1"/>
  <c r="O62" i="46" s="1"/>
  <c r="P26" i="46"/>
  <c r="N25" i="32"/>
  <c r="N52" i="32" s="1"/>
  <c r="N61" i="32" s="1"/>
  <c r="O25" i="32"/>
  <c r="P25" i="32"/>
  <c r="K52" i="47" l="1"/>
  <c r="K61" i="47" s="1"/>
  <c r="J52" i="47"/>
  <c r="J61" i="47" s="1"/>
  <c r="K52" i="48"/>
  <c r="K61" i="48" s="1"/>
  <c r="M52" i="51"/>
  <c r="M61" i="51" s="1"/>
  <c r="J52" i="48"/>
  <c r="J61" i="48" s="1"/>
  <c r="P53" i="46"/>
  <c r="P62" i="46" s="1"/>
  <c r="P52" i="32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I18" i="54"/>
  <c r="I26" i="54" s="1"/>
  <c r="H18" i="54"/>
  <c r="H26" i="54" s="1"/>
  <c r="L42" i="53"/>
  <c r="L17" i="53" s="1"/>
  <c r="K42" i="53"/>
  <c r="K17" i="53" s="1"/>
  <c r="J42" i="53"/>
  <c r="J17" i="53" s="1"/>
  <c r="L40" i="53"/>
  <c r="K40" i="53"/>
  <c r="J40" i="53"/>
  <c r="L30" i="53"/>
  <c r="K30" i="53"/>
  <c r="J30" i="53"/>
  <c r="L18" i="53"/>
  <c r="K18" i="53"/>
  <c r="J18" i="53"/>
  <c r="L16" i="53"/>
  <c r="K16" i="53"/>
  <c r="J16" i="53"/>
  <c r="L42" i="52"/>
  <c r="L17" i="52" s="1"/>
  <c r="K42" i="52"/>
  <c r="K17" i="52" s="1"/>
  <c r="J42" i="52"/>
  <c r="J17" i="52" s="1"/>
  <c r="L40" i="52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K43" i="32" l="1"/>
  <c r="K50" i="32" s="1"/>
  <c r="I43" i="48"/>
  <c r="I50" i="48" s="1"/>
  <c r="I64" i="48" s="1"/>
  <c r="K44" i="46"/>
  <c r="K51" i="46" s="1"/>
  <c r="L44" i="52"/>
  <c r="L51" i="52" s="1"/>
  <c r="K44" i="53"/>
  <c r="K51" i="53" s="1"/>
  <c r="H43" i="49"/>
  <c r="H50" i="49" s="1"/>
  <c r="H44" i="50"/>
  <c r="H51" i="50" s="1"/>
  <c r="H65" i="50" s="1"/>
  <c r="J26" i="53"/>
  <c r="J44" i="52"/>
  <c r="J51" i="52" s="1"/>
  <c r="J65" i="52" s="1"/>
  <c r="L44" i="46"/>
  <c r="L51" i="46" s="1"/>
  <c r="L65" i="46" s="1"/>
  <c r="J44" i="53"/>
  <c r="J51" i="53" s="1"/>
  <c r="J65" i="53" s="1"/>
  <c r="M44" i="46"/>
  <c r="M51" i="46" s="1"/>
  <c r="M65" i="46" s="1"/>
  <c r="H43" i="47"/>
  <c r="H50" i="47" s="1"/>
  <c r="H52" i="47" s="1"/>
  <c r="H61" i="47" s="1"/>
  <c r="K43" i="51"/>
  <c r="K50" i="51" s="1"/>
  <c r="K64" i="51" s="1"/>
  <c r="L43" i="51"/>
  <c r="L50" i="51" s="1"/>
  <c r="L64" i="51" s="1"/>
  <c r="J43" i="51"/>
  <c r="J50" i="51" s="1"/>
  <c r="J64" i="51" s="1"/>
  <c r="K44" i="52"/>
  <c r="K51" i="52" s="1"/>
  <c r="K65" i="52" s="1"/>
  <c r="L44" i="53"/>
  <c r="L51" i="53" s="1"/>
  <c r="L65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26" i="53"/>
  <c r="K65" i="53"/>
  <c r="K26" i="53"/>
  <c r="K53" i="53" s="1"/>
  <c r="K62" i="53" s="1"/>
  <c r="J26" i="52"/>
  <c r="K26" i="52"/>
  <c r="K53" i="52" s="1"/>
  <c r="K62" i="52" s="1"/>
  <c r="L26" i="52"/>
  <c r="L53" i="52" s="1"/>
  <c r="L62" i="52" s="1"/>
  <c r="J25" i="51"/>
  <c r="K25" i="51"/>
  <c r="K52" i="51" s="1"/>
  <c r="K61" i="51" s="1"/>
  <c r="L25" i="51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K65" i="46"/>
  <c r="K26" i="46"/>
  <c r="K53" i="46" s="1"/>
  <c r="K62" i="46" s="1"/>
  <c r="L26" i="46"/>
  <c r="M26" i="46"/>
  <c r="J53" i="53" l="1"/>
  <c r="J62" i="53" s="1"/>
  <c r="M53" i="46"/>
  <c r="M62" i="46" s="1"/>
  <c r="L53" i="46"/>
  <c r="L62" i="46" s="1"/>
  <c r="L53" i="53"/>
  <c r="L62" i="53" s="1"/>
  <c r="J53" i="52"/>
  <c r="J62" i="52" s="1"/>
  <c r="I53" i="50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I17" i="32" s="1"/>
  <c r="H41" i="32"/>
  <c r="H17" i="32" s="1"/>
  <c r="J39" i="32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D42" i="53"/>
  <c r="D17" i="53" s="1"/>
  <c r="C42" i="53"/>
  <c r="C17" i="53" s="1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C17" i="52" s="1"/>
  <c r="B42" i="52"/>
  <c r="B17" i="52" s="1"/>
  <c r="F40" i="52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H43" i="32" l="1"/>
  <c r="H50" i="32" s="1"/>
  <c r="H64" i="32" s="1"/>
  <c r="I43" i="51"/>
  <c r="I50" i="51" s="1"/>
  <c r="D26" i="52"/>
  <c r="E52" i="48"/>
  <c r="E61" i="48" s="1"/>
  <c r="C31" i="31"/>
  <c r="D26" i="46"/>
  <c r="C44" i="50"/>
  <c r="C51" i="50" s="1"/>
  <c r="C65" i="50" s="1"/>
  <c r="B44" i="52"/>
  <c r="B51" i="52" s="1"/>
  <c r="D44" i="54"/>
  <c r="D51" i="54" s="1"/>
  <c r="D65" i="54" s="1"/>
  <c r="D44" i="50"/>
  <c r="D51" i="50" s="1"/>
  <c r="D65" i="50" s="1"/>
  <c r="E44" i="54"/>
  <c r="E51" i="54" s="1"/>
  <c r="E65" i="54" s="1"/>
  <c r="E43" i="47"/>
  <c r="E50" i="47" s="1"/>
  <c r="E64" i="47" s="1"/>
  <c r="G44" i="53"/>
  <c r="G51" i="53" s="1"/>
  <c r="C53" i="54"/>
  <c r="C62" i="54" s="1"/>
  <c r="E44" i="50"/>
  <c r="E51" i="50" s="1"/>
  <c r="E65" i="50" s="1"/>
  <c r="I43" i="32"/>
  <c r="I50" i="32" s="1"/>
  <c r="I64" i="32" s="1"/>
  <c r="E53" i="50"/>
  <c r="E62" i="50" s="1"/>
  <c r="D43" i="32"/>
  <c r="D50" i="32" s="1"/>
  <c r="D52" i="49"/>
  <c r="D61" i="49" s="1"/>
  <c r="E43" i="32"/>
  <c r="E50" i="32" s="1"/>
  <c r="G43" i="32"/>
  <c r="G50" i="32" s="1"/>
  <c r="G64" i="32" s="1"/>
  <c r="G44" i="54"/>
  <c r="G51" i="54" s="1"/>
  <c r="G65" i="54" s="1"/>
  <c r="C49" i="29"/>
  <c r="C56" i="29" s="1"/>
  <c r="C70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J65" i="46" s="1"/>
  <c r="B48" i="29"/>
  <c r="B55" i="29" s="1"/>
  <c r="B69" i="29" s="1"/>
  <c r="B43" i="32"/>
  <c r="B50" i="32" s="1"/>
  <c r="B64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G65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D64" i="32"/>
  <c r="E44" i="46"/>
  <c r="E51" i="46" s="1"/>
  <c r="E65" i="46" s="1"/>
  <c r="C43" i="51"/>
  <c r="C50" i="51" s="1"/>
  <c r="C64" i="51" s="1"/>
  <c r="C44" i="52"/>
  <c r="C51" i="52" s="1"/>
  <c r="C65" i="52" s="1"/>
  <c r="E65" i="53"/>
  <c r="B44" i="53"/>
  <c r="B51" i="53" s="1"/>
  <c r="B65" i="53" s="1"/>
  <c r="F44" i="53"/>
  <c r="F51" i="53" s="1"/>
  <c r="F65" i="53" s="1"/>
  <c r="I65" i="53"/>
  <c r="B69" i="31"/>
  <c r="H25" i="32"/>
  <c r="J43" i="32"/>
  <c r="J50" i="32" s="1"/>
  <c r="J64" i="32" s="1"/>
  <c r="H44" i="46"/>
  <c r="H51" i="46" s="1"/>
  <c r="H65" i="46" s="1"/>
  <c r="G53" i="54"/>
  <c r="G62" i="54" s="1"/>
  <c r="C70" i="31"/>
  <c r="E64" i="51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I65" i="46"/>
  <c r="I26" i="46"/>
  <c r="I53" i="46" s="1"/>
  <c r="I62" i="46" s="1"/>
  <c r="J26" i="46"/>
  <c r="H26" i="46"/>
  <c r="I25" i="32"/>
  <c r="J25" i="32"/>
  <c r="C31" i="29"/>
  <c r="E64" i="32"/>
  <c r="C53" i="50"/>
  <c r="C62" i="50" s="1"/>
  <c r="E52" i="47"/>
  <c r="E61" i="47" s="1"/>
  <c r="E26" i="52"/>
  <c r="E53" i="52" s="1"/>
  <c r="E62" i="52" s="1"/>
  <c r="E65" i="52"/>
  <c r="B65" i="52"/>
  <c r="E26" i="46"/>
  <c r="B65" i="46"/>
  <c r="D52" i="48"/>
  <c r="D61" i="48" s="1"/>
  <c r="E52" i="49"/>
  <c r="E61" i="49" s="1"/>
  <c r="D65" i="53"/>
  <c r="D26" i="53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B26" i="46"/>
  <c r="B53" i="46" s="1"/>
  <c r="B62" i="46" s="1"/>
  <c r="F25" i="51"/>
  <c r="F52" i="51" s="1"/>
  <c r="F61" i="51" s="1"/>
  <c r="B26" i="52"/>
  <c r="B53" i="52" s="1"/>
  <c r="B62" i="52" s="1"/>
  <c r="F26" i="53"/>
  <c r="H52" i="32" l="1"/>
  <c r="H61" i="32" s="1"/>
  <c r="G52" i="32"/>
  <c r="G61" i="32" s="1"/>
  <c r="I52" i="32"/>
  <c r="I61" i="32" s="1"/>
  <c r="C52" i="32"/>
  <c r="C61" i="32" s="1"/>
  <c r="B52" i="49"/>
  <c r="B61" i="49" s="1"/>
  <c r="C58" i="29"/>
  <c r="C67" i="29" s="1"/>
  <c r="D53" i="50"/>
  <c r="D62" i="50" s="1"/>
  <c r="C58" i="31"/>
  <c r="C67" i="31" s="1"/>
  <c r="D53" i="54"/>
  <c r="D62" i="54" s="1"/>
  <c r="G52" i="49"/>
  <c r="G61" i="49" s="1"/>
  <c r="D65" i="46"/>
  <c r="C52" i="48"/>
  <c r="C61" i="48" s="1"/>
  <c r="E58" i="29"/>
  <c r="E67" i="29" s="1"/>
  <c r="D53" i="53"/>
  <c r="D62" i="53" s="1"/>
  <c r="D57" i="31"/>
  <c r="D66" i="31" s="1"/>
  <c r="B57" i="29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<sst xmlns="http://schemas.openxmlformats.org/spreadsheetml/2006/main" count="8314" uniqueCount="150">
  <si>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</si>
  <si>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</si>
  <si>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</si>
  <si>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</si>
  <si>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</si>
  <si>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</si>
  <si>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</si>
  <si>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</si>
  <si>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</si>
  <si>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</si>
  <si>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</si>
  <si>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</si>
  <si>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</si>
  <si>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</si>
  <si>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</si>
  <si>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</si>
  <si>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</si>
  <si>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</si>
  <si>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</si>
  <si>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</si>
  <si>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</si>
  <si>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</si>
  <si>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</si>
  <si>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</si>
  <si>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</si>
  <si>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</si>
  <si>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</si>
  <si>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</si>
  <si>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</si>
  <si>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</si>
  <si>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</si>
  <si>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</si>
  <si>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</si>
  <si>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</si>
  <si>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</si>
  <si>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</si>
  <si>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</si>
  <si>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</si>
  <si>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</si>
  <si>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</si>
  <si>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</si>
  <si>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</si>
  <si>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</si>
  <si>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</si>
  <si>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</si>
  <si>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</si>
  <si>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</si>
  <si>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</si>
  <si>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</si>
  <si>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</si>
  <si>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</si>
  <si>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</si>
  <si>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</si>
  <si>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</si>
  <si>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</si>
  <si>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</si>
  <si>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</si>
  <si>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</si>
  <si>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</si>
  <si>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</si>
  <si>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</si>
  <si>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</si>
  <si>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</si>
  <si>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</si>
  <si>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</si>
  <si>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</si>
  <si>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</si>
  <si>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</si>
  <si>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</si>
  <si>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</si>
  <si>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</si>
  <si>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</si>
  <si>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</si>
  <si>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</si>
  <si>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</si>
  <si>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</si>
  <si>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</si>
  <si>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</si>
  <si>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</si>
  <si>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</si>
  <si>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</si>
  <si>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</si>
  <si>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</si>
  <si>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</si>
  <si>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</si>
  <si>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</si>
  <si>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</si>
  <si>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</si>
  <si>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</si>
  <si>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</si>
  <si>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</si>
  <si>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</si>
  <si>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</si>
  <si>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</si>
  <si>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</si>
  <si>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</si>
  <si>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</si>
  <si>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</si>
  <si>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</si>
  <si>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</si>
  <si>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</si>
  <si>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</si>
  <si>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</si>
  <si>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</si>
  <si>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</si>
  <si>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</si>
  <si>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</si>
  <si>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</si>
  <si>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</si>
  <si>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</si>
  <si>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</si>
  <si>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</si>
  <si>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</si>
  <si>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</si>
  <si>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</si>
  <si>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</si>
  <si>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</si>
  <si>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</si>
  <si>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</si>
  <si>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</si>
  <si>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</si>
  <si>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</si>
  <si>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</si>
  <si>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</si>
  <si>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</si>
  <si>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</si>
  <si>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</si>
  <si>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</si>
  <si>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</si>
  <si>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</si>
  <si>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</si>
  <si>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</si>
  <si>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</si>
  <si>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</si>
  <si>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</si>
  <si>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</si>
  <si>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</si>
  <si>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Huawei, HiSilicon</t>
    <phoneticPr fontId="9" type="noConversion"/>
  </si>
  <si>
    <t>Huawei, HiSilicon</t>
    <phoneticPr fontId="9" type="noConversion"/>
  </si>
  <si>
    <t>-</t>
    <phoneticPr fontId="9" type="noConversion"/>
  </si>
  <si>
    <t>Spreadtrum</t>
  </si>
  <si>
    <t>Spreadtrum</t>
    <phoneticPr fontId="14" type="noConversion"/>
  </si>
  <si>
    <t>Apple</t>
  </si>
  <si>
    <t xml:space="preserve">Apple </t>
  </si>
  <si>
    <t>Ericsson</t>
  </si>
  <si>
    <t>InterDigital</t>
  </si>
  <si>
    <t>Qualcomm</t>
  </si>
  <si>
    <t>Intel</t>
  </si>
  <si>
    <t>Panasonic (revised)</t>
    <phoneticPr fontId="14" type="noConversion"/>
  </si>
  <si>
    <t>Panasonic (revised)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</si>
</sst>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0_ "/>
    <numFmt numFmtId="177" formatCode="0.00_ "/>
  </numFmts>
  <fonts count="19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  <font>
      <sz val="12"/>
      <name val="宋体"/>
    </font>
    <font>
      <strike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</cellStyleXfs>
  <cellXfs count="111">
    <xf numFmtId="0" fontId="0" fillId="0" borderId="0" xfId="0">
      <alignment vertical="center"/>
    </xf>
    <xf numFmtId="0" fontId="8" fillId="0" borderId="0" xfId="1">
      <alignment vertical="center"/>
    </xf>
    <xf numFmtId="177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7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177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7" fontId="0" fillId="5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vertical="center" wrapText="1"/>
    </xf>
    <xf numFmtId="177" fontId="11" fillId="8" borderId="1" xfId="1" applyNumberFormat="1" applyFont="1" applyFill="1" applyBorder="1" applyAlignment="1">
      <alignment horizontal="center" vertical="center" wrapText="1"/>
    </xf>
    <xf numFmtId="177" fontId="11" fillId="5" borderId="1" xfId="1" applyNumberFormat="1" applyFont="1" applyFill="1" applyBorder="1" applyAlignment="1">
      <alignment horizontal="center" vertical="center" wrapText="1"/>
    </xf>
    <xf numFmtId="177" fontId="13" fillId="5" borderId="1" xfId="1" applyNumberFormat="1" applyFont="1" applyFill="1" applyBorder="1" applyAlignment="1">
      <alignment horizontal="center" vertical="center" wrapText="1"/>
    </xf>
    <xf numFmtId="177" fontId="11" fillId="7" borderId="1" xfId="1" applyNumberFormat="1" applyFont="1" applyFill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77" fontId="12" fillId="0" borderId="0" xfId="1" applyNumberFormat="1" applyFont="1">
      <alignment vertical="center"/>
    </xf>
    <xf numFmtId="177" fontId="6" fillId="8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77" fontId="8" fillId="0" borderId="1" xfId="1" applyNumberForma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8" fillId="0" borderId="0" xfId="1" applyNumberFormat="1" applyAlignment="1">
      <alignment horizontal="center" vertical="center"/>
    </xf>
    <xf numFmtId="177" fontId="8" fillId="0" borderId="0" xfId="1" applyNumberFormat="1">
      <alignment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0" fontId="16" fillId="2" borderId="1" xfId="1" applyFont="1" applyFill="1" applyBorder="1" applyAlignment="1">
      <alignment horizontal="center" vertical="top" wrapText="1"/>
    </xf>
    <xf numFmtId="0" fontId="18" fillId="0" borderId="0" xfId="1" applyFont="1">
      <alignment vertical="center"/>
    </xf>
    <xf numFmtId="177" fontId="1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177" fontId="6" fillId="7" borderId="1" xfId="1" applyNumberFormat="1" applyFont="1" applyFill="1" applyBorder="1" applyAlignment="1">
      <alignment horizontal="center" vertical="center"/>
    </xf>
    <xf numFmtId="177" fontId="6" fillId="8" borderId="1" xfId="1" applyNumberFormat="1" applyFont="1" applyFill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/>
    </xf>
  </cellXfs>
  <cellStyles count="3">
    <cellStyle name="常规 2" xfId="1" xr:uid="{00000000-0005-0000-0000-000001000000}"/>
    <cellStyle name="標準" xfId="0" builtinId="0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7" customWidth="1"/>
    <col min="2" max="4" width="15.59765625" style="2" customWidth="1"/>
    <col min="5" max="5" width="15.59765625" style="35" customWidth="1"/>
    <col min="6" max="6" width="39.59765625" style="38" customWidth="1"/>
    <col min="7" max="16384" width="9" style="1"/>
  </cols>
  <sheetData>
    <row r="1" spans="1:6">
      <c r="A1" s="39" t="s">
        <v>0</v>
      </c>
    </row>
    <row r="2" spans="1:6" ht="27.6">
      <c r="A2" s="40" t="s">
        <v>1</v>
      </c>
    </row>
    <row r="3" spans="1:6">
      <c r="A3" s="29" t="s">
        <v>2</v>
      </c>
    </row>
    <row r="5" spans="1:6" ht="28.35" customHeight="1">
      <c r="A5" s="41" t="s">
        <v>3</v>
      </c>
      <c r="B5" s="92" t="s">
        <v>4</v>
      </c>
      <c r="C5" s="92"/>
      <c r="D5" s="92"/>
      <c r="E5" s="92"/>
      <c r="F5" s="92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7.6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1.4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7.6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5.2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5.2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1.4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1.4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55.2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55.2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55.2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7.6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1.4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69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1.4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5.2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55.2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5.2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7.6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7.6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7.6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7.6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7.6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7.6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7.6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27.6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27.6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27.6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27.6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27.6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93" t="s">
        <v>88</v>
      </c>
    </row>
    <row r="61" spans="1:6" ht="27.6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94"/>
    </row>
    <row r="62" spans="1:6" ht="27.6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94"/>
    </row>
    <row r="63" spans="1:6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94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94"/>
    </row>
    <row r="65" spans="1:6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95"/>
    </row>
    <row r="66" spans="1:6" ht="27.6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27.6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3.8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V65"/>
  <sheetViews>
    <sheetView zoomScale="85" zoomScaleNormal="85" workbookViewId="0">
      <pane xSplit="1" ySplit="1" topLeftCell="AJ44" activePane="bottomRight" state="frozen"/>
      <selection pane="topRight"/>
      <selection pane="bottomLeft"/>
      <selection pane="bottomRight" activeCell="AV2" sqref="AV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2.5" style="1" bestFit="1" customWidth="1"/>
    <col min="17" max="18" width="15.59765625" style="1" bestFit="1" customWidth="1"/>
    <col min="19" max="19" width="17.59765625" style="1" customWidth="1"/>
    <col min="20" max="20" width="13.09765625" style="1" customWidth="1"/>
    <col min="21" max="21" width="20.59765625" style="1" customWidth="1"/>
    <col min="22" max="22" width="15.59765625" style="2" customWidth="1"/>
    <col min="23" max="24" width="15.59765625" style="1" customWidth="1"/>
    <col min="25" max="25" width="15.59765625" style="2" customWidth="1"/>
    <col min="26" max="30" width="15.59765625" style="1" customWidth="1"/>
    <col min="31" max="31" width="13.8984375" style="2" customWidth="1"/>
    <col min="32" max="32" width="16.59765625" style="1" customWidth="1"/>
    <col min="33" max="33" width="15.5" style="1" customWidth="1"/>
    <col min="34" max="34" width="15.59765625" style="2" customWidth="1"/>
    <col min="35" max="36" width="15.59765625" style="1" customWidth="1"/>
    <col min="37" max="37" width="15.59765625" style="2" customWidth="1"/>
    <col min="38" max="39" width="15.59765625" style="1" customWidth="1"/>
    <col min="40" max="40" width="15.59765625" style="2" customWidth="1"/>
    <col min="41" max="42" width="15.59765625" style="1" customWidth="1"/>
    <col min="43" max="43" width="15.59765625" style="2" customWidth="1"/>
    <col min="44" max="45" width="15.59765625" style="1" customWidth="1"/>
    <col min="46" max="46" width="15.59765625" style="90" customWidth="1"/>
    <col min="47" max="48" width="15.59765625" style="1" customWidth="1"/>
    <col min="49" max="16384" width="9" style="1"/>
  </cols>
  <sheetData>
    <row r="1" spans="1:48" ht="14.25" customHeight="1">
      <c r="A1" s="3"/>
      <c r="B1" s="96" t="s">
        <v>100</v>
      </c>
      <c r="C1" s="96"/>
      <c r="D1" s="96"/>
      <c r="E1" s="96" t="s">
        <v>101</v>
      </c>
      <c r="F1" s="96"/>
      <c r="G1" s="97" t="s">
        <v>113</v>
      </c>
      <c r="H1" s="97"/>
      <c r="I1" s="97"/>
      <c r="J1" s="96" t="s">
        <v>114</v>
      </c>
      <c r="K1" s="96"/>
      <c r="L1" s="96"/>
      <c r="M1" s="96" t="s">
        <v>123</v>
      </c>
      <c r="N1" s="96"/>
      <c r="O1" s="96"/>
      <c r="P1" s="96" t="s">
        <v>125</v>
      </c>
      <c r="Q1" s="96"/>
      <c r="R1" s="96"/>
      <c r="S1" s="96" t="s">
        <v>128</v>
      </c>
      <c r="T1" s="96"/>
      <c r="U1" s="96"/>
      <c r="V1" s="96" t="s">
        <v>129</v>
      </c>
      <c r="W1" s="96"/>
      <c r="X1" s="96"/>
      <c r="Y1" s="96" t="s">
        <v>130</v>
      </c>
      <c r="Z1" s="96"/>
      <c r="AA1" s="96"/>
      <c r="AB1" s="96" t="s">
        <v>131</v>
      </c>
      <c r="AC1" s="96"/>
      <c r="AD1" s="96"/>
      <c r="AE1" s="96" t="s">
        <v>138</v>
      </c>
      <c r="AF1" s="96"/>
      <c r="AG1" s="96"/>
      <c r="AH1" s="96" t="s">
        <v>140</v>
      </c>
      <c r="AI1" s="96"/>
      <c r="AJ1" s="96"/>
      <c r="AK1" s="96" t="s">
        <v>142</v>
      </c>
      <c r="AL1" s="96"/>
      <c r="AM1" s="96"/>
      <c r="AN1" s="96" t="s">
        <v>144</v>
      </c>
      <c r="AO1" s="96"/>
      <c r="AP1" s="96"/>
      <c r="AQ1" s="96" t="s">
        <v>146</v>
      </c>
      <c r="AR1" s="96"/>
      <c r="AS1" s="96"/>
      <c r="AT1" s="96" t="s">
        <v>147</v>
      </c>
      <c r="AU1" s="96"/>
      <c r="AV1" s="96"/>
    </row>
    <row r="2" spans="1:48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  <c r="AQ2" s="5" t="s">
        <v>102</v>
      </c>
      <c r="AR2" s="6" t="s">
        <v>103</v>
      </c>
      <c r="AS2" s="6" t="s">
        <v>104</v>
      </c>
      <c r="AT2" s="87" t="s">
        <v>102</v>
      </c>
      <c r="AU2" s="86" t="s">
        <v>103</v>
      </c>
      <c r="AV2" s="6" t="s">
        <v>104</v>
      </c>
    </row>
    <row r="3" spans="1:48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45">
        <v>2.6</v>
      </c>
      <c r="AU3" s="45">
        <v>2.6</v>
      </c>
      <c r="AV3" s="8"/>
    </row>
    <row r="4" spans="1:48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45">
        <v>100</v>
      </c>
      <c r="AU4" s="45">
        <v>100</v>
      </c>
      <c r="AV4" s="8"/>
    </row>
    <row r="5" spans="1:48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88" t="s">
        <v>16</v>
      </c>
      <c r="AU5" s="88" t="s">
        <v>16</v>
      </c>
      <c r="AV5" s="9"/>
    </row>
    <row r="6" spans="1:48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  <c r="AT6" s="45" t="s">
        <v>16</v>
      </c>
      <c r="AU6" s="45" t="s">
        <v>16</v>
      </c>
      <c r="AV6" s="8"/>
    </row>
    <row r="7" spans="1:48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88" t="s">
        <v>16</v>
      </c>
      <c r="AU7" s="88" t="s">
        <v>16</v>
      </c>
      <c r="AV7" s="9"/>
    </row>
    <row r="8" spans="1:48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50">
        <v>0.1</v>
      </c>
      <c r="AU8" s="50">
        <v>0.1</v>
      </c>
      <c r="AV8" s="11"/>
    </row>
    <row r="9" spans="1:4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45" t="s">
        <v>22</v>
      </c>
      <c r="AU9" s="45" t="s">
        <v>22</v>
      </c>
      <c r="AV9" s="8"/>
    </row>
    <row r="10" spans="1:48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45">
        <v>3</v>
      </c>
      <c r="AU10" s="45">
        <v>3</v>
      </c>
      <c r="AV10" s="8"/>
    </row>
    <row r="11" spans="1:48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51"/>
      <c r="AU11" s="51"/>
      <c r="AV11" s="13"/>
    </row>
    <row r="12" spans="1:48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45">
        <v>192</v>
      </c>
      <c r="AU12" s="45">
        <v>192</v>
      </c>
      <c r="AV12" s="8"/>
    </row>
    <row r="13" spans="1:48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45">
        <v>64</v>
      </c>
      <c r="AU13" s="45">
        <v>64</v>
      </c>
      <c r="AV13" s="8"/>
    </row>
    <row r="14" spans="1:48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3">
        <v>4</v>
      </c>
      <c r="AU14" s="83">
        <v>4</v>
      </c>
      <c r="AV14" s="82"/>
    </row>
    <row r="15" spans="1:48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45">
        <v>33</v>
      </c>
      <c r="AU15" s="45">
        <v>33</v>
      </c>
      <c r="AV15" s="8"/>
    </row>
    <row r="16" spans="1:48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  <c r="AQ16" s="8">
        <f t="shared" ref="AQ16:AU16" si="5">AQ15+10*LOG10(AQ4)</f>
        <v>53</v>
      </c>
      <c r="AR16" s="8">
        <f t="shared" si="5"/>
        <v>53</v>
      </c>
      <c r="AS16" s="8">
        <f t="shared" si="5"/>
        <v>53</v>
      </c>
      <c r="AT16" s="45">
        <f t="shared" si="5"/>
        <v>53</v>
      </c>
      <c r="AU16" s="45">
        <f t="shared" si="5"/>
        <v>53</v>
      </c>
      <c r="AV16" s="8"/>
    </row>
    <row r="17" spans="1:48" ht="27.6">
      <c r="A17" s="7" t="s">
        <v>35</v>
      </c>
      <c r="B17" s="12">
        <f t="shared" ref="B17:I17" si="6">B15+10*LOG10(B42/1000000)</f>
        <v>34.583624920952495</v>
      </c>
      <c r="C17" s="12">
        <f t="shared" si="6"/>
        <v>34.583624920952495</v>
      </c>
      <c r="D17" s="12">
        <f t="shared" si="6"/>
        <v>34.583624920952495</v>
      </c>
      <c r="E17" s="12">
        <f t="shared" si="6"/>
        <v>33.334237554869496</v>
      </c>
      <c r="F17" s="12">
        <f t="shared" si="6"/>
        <v>33.334237554869496</v>
      </c>
      <c r="G17" s="71">
        <f t="shared" si="6"/>
        <v>33.334237554869496</v>
      </c>
      <c r="H17" s="71">
        <f t="shared" si="6"/>
        <v>33.334237554869496</v>
      </c>
      <c r="I17" s="71">
        <f t="shared" si="6"/>
        <v>33.334237554869496</v>
      </c>
      <c r="J17" s="12">
        <f t="shared" ref="J17:O17" si="7">J15+10*LOG10(J42/1000000)</f>
        <v>34.583624920952495</v>
      </c>
      <c r="K17" s="12">
        <f t="shared" si="7"/>
        <v>34.583624920952495</v>
      </c>
      <c r="L17" s="12">
        <f t="shared" si="7"/>
        <v>34.583624920952495</v>
      </c>
      <c r="M17" s="12">
        <f t="shared" si="7"/>
        <v>34.583624920952495</v>
      </c>
      <c r="N17" s="12">
        <f t="shared" si="7"/>
        <v>34.583624920952495</v>
      </c>
      <c r="O17" s="12">
        <f t="shared" si="7"/>
        <v>34.583624920952495</v>
      </c>
      <c r="P17" s="12">
        <f t="shared" ref="P17:U17" si="8">P15+10*LOG10(P42/1000000)</f>
        <v>33.334237554869496</v>
      </c>
      <c r="Q17" s="12">
        <f t="shared" si="8"/>
        <v>33.334237554869496</v>
      </c>
      <c r="R17" s="12">
        <f t="shared" si="8"/>
        <v>33.334237554869496</v>
      </c>
      <c r="S17" s="8">
        <f t="shared" si="8"/>
        <v>33.334237554869496</v>
      </c>
      <c r="T17" s="8">
        <f t="shared" si="8"/>
        <v>33.334237554869496</v>
      </c>
      <c r="U17" s="8">
        <f t="shared" si="8"/>
        <v>33.334237554869496</v>
      </c>
      <c r="V17" s="8">
        <f t="shared" ref="V17:AA17" si="9">V15+10*LOG10(V42/1000000)</f>
        <v>33.334237554869496</v>
      </c>
      <c r="W17" s="8">
        <f t="shared" si="9"/>
        <v>33.334237554869496</v>
      </c>
      <c r="X17" s="8">
        <f t="shared" si="9"/>
        <v>33.334237554869496</v>
      </c>
      <c r="Y17" s="12">
        <f t="shared" si="9"/>
        <v>33.334237554869496</v>
      </c>
      <c r="Z17" s="12">
        <f t="shared" si="9"/>
        <v>33.334237554869496</v>
      </c>
      <c r="AA17" s="12">
        <f t="shared" si="9"/>
        <v>33.334237554869496</v>
      </c>
      <c r="AB17" s="12">
        <f>AB15+10*LOG10(AB42/1000000)</f>
        <v>34.583624920952495</v>
      </c>
      <c r="AC17" s="12">
        <f>AC15+10*LOG10(AC42/1000000)</f>
        <v>34.583624920952495</v>
      </c>
      <c r="AD17" s="12"/>
      <c r="AE17" s="12">
        <f t="shared" ref="AE17:AM17" si="10">AE15+10*LOG10(AE42/1000000)</f>
        <v>41.115750058705935</v>
      </c>
      <c r="AF17" s="12">
        <f t="shared" si="10"/>
        <v>41.115750058705935</v>
      </c>
      <c r="AG17" s="12">
        <f t="shared" si="10"/>
        <v>41.115750058705935</v>
      </c>
      <c r="AH17" s="12">
        <f t="shared" si="10"/>
        <v>33.334237554869496</v>
      </c>
      <c r="AI17" s="12">
        <f t="shared" si="10"/>
        <v>33.334237554869496</v>
      </c>
      <c r="AJ17" s="12">
        <f t="shared" si="10"/>
        <v>33.334237554869496</v>
      </c>
      <c r="AK17" s="8">
        <f t="shared" si="10"/>
        <v>33.334237554869496</v>
      </c>
      <c r="AL17" s="8">
        <f t="shared" si="10"/>
        <v>33.334237554869496</v>
      </c>
      <c r="AM17" s="8">
        <f t="shared" si="10"/>
        <v>33.334237554869496</v>
      </c>
      <c r="AN17" s="8">
        <f>AN15+10*LOG10(AN42/1000000)</f>
        <v>33.334237554869496</v>
      </c>
      <c r="AO17" s="8">
        <f>AO15+10*LOG10(AO42/1000000)</f>
        <v>33.334237554869496</v>
      </c>
      <c r="AP17" s="8">
        <f>AP15+10*LOG10(AP42/1000000)</f>
        <v>33.334237554869496</v>
      </c>
      <c r="AQ17" s="8">
        <f t="shared" ref="AQ17:AU17" si="11">AQ15+10*LOG10(AQ42/1000000)</f>
        <v>33.334237554869496</v>
      </c>
      <c r="AR17" s="8">
        <f t="shared" si="11"/>
        <v>33.334237554869496</v>
      </c>
      <c r="AS17" s="8">
        <f t="shared" si="11"/>
        <v>33.334237554869496</v>
      </c>
      <c r="AT17" s="45">
        <f t="shared" si="11"/>
        <v>33.334237554869496</v>
      </c>
      <c r="AU17" s="45">
        <f t="shared" si="11"/>
        <v>33.334237554869496</v>
      </c>
      <c r="AV17" s="8"/>
    </row>
    <row r="18" spans="1:48" ht="41.4">
      <c r="A18" s="14" t="s">
        <v>37</v>
      </c>
      <c r="B18" s="12">
        <f t="shared" ref="B18:I18" si="12">B19+10*LOG10(B12/B13)-B20</f>
        <v>12.771212547196624</v>
      </c>
      <c r="C18" s="12">
        <f t="shared" si="12"/>
        <v>12.771212547196624</v>
      </c>
      <c r="D18" s="12">
        <f t="shared" si="12"/>
        <v>12.771212547196624</v>
      </c>
      <c r="E18" s="12">
        <f t="shared" si="12"/>
        <v>9.8212125471966232</v>
      </c>
      <c r="F18" s="12">
        <f t="shared" si="12"/>
        <v>9.8212125471966232</v>
      </c>
      <c r="G18" s="71">
        <f t="shared" si="12"/>
        <v>12.771212547196624</v>
      </c>
      <c r="H18" s="71">
        <f t="shared" si="12"/>
        <v>12.771212547196624</v>
      </c>
      <c r="I18" s="71">
        <f t="shared" si="12"/>
        <v>12.771212547196624</v>
      </c>
      <c r="J18" s="12">
        <f t="shared" ref="J18:O18" si="13">J19+10*LOG10(J12/J13)-J20</f>
        <v>12.771212547196624</v>
      </c>
      <c r="K18" s="12">
        <f t="shared" si="13"/>
        <v>12.771212547196624</v>
      </c>
      <c r="L18" s="12">
        <f t="shared" si="13"/>
        <v>12.771212547196624</v>
      </c>
      <c r="M18" s="12">
        <f t="shared" si="13"/>
        <v>10.121212547196624</v>
      </c>
      <c r="N18" s="12">
        <f t="shared" si="13"/>
        <v>10.121212547196624</v>
      </c>
      <c r="O18" s="12">
        <f t="shared" si="13"/>
        <v>10.121212547196624</v>
      </c>
      <c r="P18" s="12">
        <f t="shared" ref="P18:U18" si="14">P19+10*LOG10(P12/P13)-P20</f>
        <v>12.771212547196624</v>
      </c>
      <c r="Q18" s="12">
        <f t="shared" si="14"/>
        <v>12.771212547196624</v>
      </c>
      <c r="R18" s="12">
        <f t="shared" si="14"/>
        <v>12.771212547196624</v>
      </c>
      <c r="S18" s="8">
        <f t="shared" si="14"/>
        <v>12.771212547196624</v>
      </c>
      <c r="T18" s="8">
        <f t="shared" si="14"/>
        <v>12.771212547196624</v>
      </c>
      <c r="U18" s="8">
        <f t="shared" si="14"/>
        <v>12.771212547196624</v>
      </c>
      <c r="V18" s="8">
        <f t="shared" ref="V18:AA18" si="15">V19+10*LOG10(V12/V13)-V20</f>
        <v>12.771212547196624</v>
      </c>
      <c r="W18" s="8">
        <f t="shared" si="15"/>
        <v>12.771212547196624</v>
      </c>
      <c r="X18" s="8">
        <f t="shared" si="15"/>
        <v>12.771212547196624</v>
      </c>
      <c r="Y18" s="12">
        <f t="shared" si="15"/>
        <v>12.771212547196624</v>
      </c>
      <c r="Z18" s="12">
        <f t="shared" si="15"/>
        <v>12.771212547196624</v>
      </c>
      <c r="AA18" s="12">
        <f t="shared" si="15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6">AE19+10*LOG10(AE12/AE13)-AE20</f>
        <v>12.771212547196624</v>
      </c>
      <c r="AF18" s="12">
        <f t="shared" si="16"/>
        <v>12.771212547196624</v>
      </c>
      <c r="AG18" s="12">
        <f t="shared" si="16"/>
        <v>12.771212547196624</v>
      </c>
      <c r="AH18" s="12">
        <f t="shared" si="16"/>
        <v>12.771212547196624</v>
      </c>
      <c r="AI18" s="12">
        <f t="shared" si="16"/>
        <v>12.771212547196624</v>
      </c>
      <c r="AJ18" s="12">
        <f t="shared" si="16"/>
        <v>12.771212547196624</v>
      </c>
      <c r="AK18" s="8">
        <f t="shared" si="16"/>
        <v>12.771212547196624</v>
      </c>
      <c r="AL18" s="8">
        <f t="shared" si="16"/>
        <v>12.771212547196624</v>
      </c>
      <c r="AM18" s="8">
        <f t="shared" si="16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8">
        <f t="shared" ref="AQ18:AU18" si="17">AQ19+10*LOG10(AQ12/AQ13)-AQ20</f>
        <v>12.771212547196624</v>
      </c>
      <c r="AR18" s="8">
        <f t="shared" si="17"/>
        <v>12.771212547196624</v>
      </c>
      <c r="AS18" s="8">
        <f t="shared" si="17"/>
        <v>12.771212547196624</v>
      </c>
      <c r="AT18" s="45">
        <f t="shared" si="17"/>
        <v>8.4812125471966233</v>
      </c>
      <c r="AU18" s="45">
        <f t="shared" si="17"/>
        <v>8.4812125471966233</v>
      </c>
      <c r="AV18" s="8"/>
    </row>
    <row r="19" spans="1:48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45">
        <v>8</v>
      </c>
      <c r="AU19" s="45">
        <v>8</v>
      </c>
      <c r="AV19" s="8"/>
    </row>
    <row r="20" spans="1:48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3">
        <v>4.29</v>
      </c>
      <c r="AU20" s="83">
        <v>4.29</v>
      </c>
      <c r="AV20" s="82"/>
    </row>
    <row r="21" spans="1:48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8">10*LOG10(N13/N14)-8</f>
        <v>7.0514997831990609</v>
      </c>
      <c r="O21" s="16">
        <f t="shared" si="18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  <c r="AQ21" s="16">
        <v>7</v>
      </c>
      <c r="AR21" s="16">
        <v>7</v>
      </c>
      <c r="AS21" s="16">
        <v>7</v>
      </c>
      <c r="AT21" s="52">
        <v>12</v>
      </c>
      <c r="AU21" s="52">
        <v>12</v>
      </c>
      <c r="AV21" s="16"/>
    </row>
    <row r="22" spans="1:48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45">
        <v>0</v>
      </c>
      <c r="AU22" s="45">
        <v>0</v>
      </c>
      <c r="AV22" s="8"/>
    </row>
    <row r="23" spans="1:48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45">
        <v>0</v>
      </c>
      <c r="AU23" s="45">
        <v>0</v>
      </c>
      <c r="AV23" s="8"/>
    </row>
    <row r="24" spans="1:48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45">
        <v>3</v>
      </c>
      <c r="AU24" s="45">
        <v>3</v>
      </c>
      <c r="AV24" s="8"/>
    </row>
    <row r="25" spans="1:48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88" t="s">
        <v>16</v>
      </c>
      <c r="AU25" s="88" t="s">
        <v>16</v>
      </c>
      <c r="AV25" s="9"/>
    </row>
    <row r="26" spans="1:48">
      <c r="A26" s="7" t="s">
        <v>51</v>
      </c>
      <c r="B26" s="12">
        <f t="shared" ref="B26:I26" si="19">B17+B18+B21-B23-B24</f>
        <v>52.354837468149121</v>
      </c>
      <c r="C26" s="12">
        <f t="shared" si="19"/>
        <v>52.354837468149121</v>
      </c>
      <c r="D26" s="12">
        <f t="shared" si="19"/>
        <v>52.354837468149121</v>
      </c>
      <c r="E26" s="12">
        <f t="shared" si="19"/>
        <v>41.765450102066119</v>
      </c>
      <c r="F26" s="12">
        <f t="shared" si="19"/>
        <v>41.765450102066119</v>
      </c>
      <c r="G26" s="71">
        <f t="shared" si="19"/>
        <v>51.105450102066122</v>
      </c>
      <c r="H26" s="71">
        <f t="shared" si="19"/>
        <v>51.105450102066122</v>
      </c>
      <c r="I26" s="71">
        <f t="shared" si="19"/>
        <v>51.105450102066122</v>
      </c>
      <c r="J26" s="12">
        <f t="shared" ref="J26:O26" si="20">J17+J18+J21-J23-J24</f>
        <v>52.354837468149121</v>
      </c>
      <c r="K26" s="12">
        <f t="shared" si="20"/>
        <v>52.354837468149121</v>
      </c>
      <c r="L26" s="12">
        <f t="shared" si="20"/>
        <v>52.354837468149121</v>
      </c>
      <c r="M26" s="12">
        <f t="shared" si="20"/>
        <v>48.756337251348185</v>
      </c>
      <c r="N26" s="12">
        <f t="shared" si="20"/>
        <v>48.756337251348185</v>
      </c>
      <c r="O26" s="12">
        <f t="shared" si="20"/>
        <v>48.756337251348185</v>
      </c>
      <c r="P26" s="12">
        <f t="shared" ref="P26:U26" si="21">P17+P18+P21-P23-P24</f>
        <v>51.105450102066122</v>
      </c>
      <c r="Q26" s="12">
        <f t="shared" si="21"/>
        <v>51.105450102066122</v>
      </c>
      <c r="R26" s="12">
        <f t="shared" si="21"/>
        <v>51.105450102066122</v>
      </c>
      <c r="S26" s="8">
        <f t="shared" si="21"/>
        <v>53.105450102066122</v>
      </c>
      <c r="T26" s="8">
        <f t="shared" si="21"/>
        <v>53.105450102066122</v>
      </c>
      <c r="U26" s="8">
        <f t="shared" si="21"/>
        <v>53.105450102066122</v>
      </c>
      <c r="V26" s="8">
        <f t="shared" ref="V26:AA26" si="22">V17+V18+V21-V23-V24</f>
        <v>58.155450102066126</v>
      </c>
      <c r="W26" s="8">
        <f t="shared" si="22"/>
        <v>58.155450102066126</v>
      </c>
      <c r="X26" s="8">
        <f t="shared" si="22"/>
        <v>58.155450102066126</v>
      </c>
      <c r="Y26" s="12">
        <f t="shared" si="22"/>
        <v>51.105450102066122</v>
      </c>
      <c r="Z26" s="12">
        <f t="shared" si="22"/>
        <v>51.105450102066122</v>
      </c>
      <c r="AA26" s="12">
        <f t="shared" si="22"/>
        <v>51.105450102066122</v>
      </c>
      <c r="AB26" s="12">
        <f>AB17+AB18+AB21-AB23-AB24</f>
        <v>56.354837468149121</v>
      </c>
      <c r="AC26" s="12">
        <f>AC17+AC18+AC21-AC23-AC24</f>
        <v>56.354837468149121</v>
      </c>
      <c r="AD26" s="12"/>
      <c r="AE26" s="12">
        <f t="shared" ref="AE26:AM26" si="23">AE17+AE18+AE21-AE23-AE24</f>
        <v>58.886962605902561</v>
      </c>
      <c r="AF26" s="12">
        <f t="shared" si="23"/>
        <v>58.886962605902561</v>
      </c>
      <c r="AG26" s="12">
        <f t="shared" si="23"/>
        <v>58.886962605902561</v>
      </c>
      <c r="AH26" s="12">
        <f t="shared" si="23"/>
        <v>51.105450102066122</v>
      </c>
      <c r="AI26" s="12">
        <f t="shared" si="23"/>
        <v>51.105450102066122</v>
      </c>
      <c r="AJ26" s="12">
        <f t="shared" si="23"/>
        <v>51.105450102066122</v>
      </c>
      <c r="AK26" s="8">
        <f t="shared" si="23"/>
        <v>47.105450102066122</v>
      </c>
      <c r="AL26" s="8">
        <f t="shared" si="23"/>
        <v>47.105450102066122</v>
      </c>
      <c r="AM26" s="8">
        <f t="shared" si="23"/>
        <v>47.105450102066122</v>
      </c>
      <c r="AN26" s="8">
        <f>AN17+AN18+AN21-AN23-AN24</f>
        <v>49.105450102066122</v>
      </c>
      <c r="AO26" s="8">
        <f>AO17+AO18+AO21-AO23-AO24</f>
        <v>49.105450102066122</v>
      </c>
      <c r="AP26" s="8">
        <f>AP17+AP18+AP21-AP23-AP24</f>
        <v>49.105450102066122</v>
      </c>
      <c r="AQ26" s="8">
        <f t="shared" ref="AQ26:AU26" si="24">AQ17+AQ18+AQ21-AQ23-AQ24</f>
        <v>50.105450102066122</v>
      </c>
      <c r="AR26" s="8">
        <f t="shared" si="24"/>
        <v>50.105450102066122</v>
      </c>
      <c r="AS26" s="8">
        <f t="shared" si="24"/>
        <v>50.105450102066122</v>
      </c>
      <c r="AT26" s="45">
        <f t="shared" si="24"/>
        <v>50.815450102066123</v>
      </c>
      <c r="AU26" s="45">
        <f t="shared" si="24"/>
        <v>50.815450102066123</v>
      </c>
      <c r="AV26" s="8"/>
    </row>
    <row r="27" spans="1:48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51"/>
      <c r="AU27" s="51"/>
      <c r="AV27" s="13"/>
    </row>
    <row r="28" spans="1:48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  <c r="AQ28" s="8">
        <v>4</v>
      </c>
      <c r="AR28" s="8">
        <v>2</v>
      </c>
      <c r="AS28" s="8">
        <v>1</v>
      </c>
      <c r="AT28" s="45">
        <v>4</v>
      </c>
      <c r="AU28" s="45">
        <v>2</v>
      </c>
      <c r="AV28" s="8"/>
    </row>
    <row r="29" spans="1:48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  <c r="AQ29" s="8">
        <v>4</v>
      </c>
      <c r="AR29" s="8">
        <v>2</v>
      </c>
      <c r="AS29" s="8">
        <v>1</v>
      </c>
      <c r="AT29" s="45">
        <v>4</v>
      </c>
      <c r="AU29" s="45">
        <v>2</v>
      </c>
      <c r="AV29" s="8"/>
    </row>
    <row r="30" spans="1:48" ht="41.4">
      <c r="A30" s="7" t="s">
        <v>56</v>
      </c>
      <c r="B30" s="12">
        <f t="shared" ref="B30:I30" si="25">B31+10*LOG10(B28/B29)-B32</f>
        <v>0</v>
      </c>
      <c r="C30" s="12">
        <f t="shared" si="25"/>
        <v>-3</v>
      </c>
      <c r="D30" s="12">
        <f t="shared" si="25"/>
        <v>-3</v>
      </c>
      <c r="E30" s="12">
        <f t="shared" si="25"/>
        <v>0</v>
      </c>
      <c r="F30" s="12">
        <f t="shared" si="25"/>
        <v>-3</v>
      </c>
      <c r="G30" s="71">
        <f t="shared" si="25"/>
        <v>0</v>
      </c>
      <c r="H30" s="71">
        <f t="shared" si="25"/>
        <v>-3</v>
      </c>
      <c r="I30" s="71">
        <f t="shared" si="25"/>
        <v>-3</v>
      </c>
      <c r="J30" s="12">
        <f t="shared" ref="J30:O30" si="26">J31+10*LOG10(J28/J29)-J32</f>
        <v>0</v>
      </c>
      <c r="K30" s="12">
        <f t="shared" si="26"/>
        <v>-3</v>
      </c>
      <c r="L30" s="12">
        <f t="shared" si="26"/>
        <v>-3</v>
      </c>
      <c r="M30" s="12">
        <f t="shared" si="26"/>
        <v>0</v>
      </c>
      <c r="N30" s="12">
        <f t="shared" si="26"/>
        <v>-3</v>
      </c>
      <c r="O30" s="12">
        <f t="shared" si="26"/>
        <v>-3</v>
      </c>
      <c r="P30" s="12">
        <f t="shared" ref="P30:U30" si="27">P31+10*LOG10(P28/P29)-P32</f>
        <v>0</v>
      </c>
      <c r="Q30" s="12">
        <f t="shared" si="27"/>
        <v>-3</v>
      </c>
      <c r="R30" s="12">
        <f t="shared" si="27"/>
        <v>-3</v>
      </c>
      <c r="S30" s="8">
        <f t="shared" si="27"/>
        <v>0</v>
      </c>
      <c r="T30" s="8">
        <f t="shared" si="27"/>
        <v>-3</v>
      </c>
      <c r="U30" s="8">
        <f t="shared" si="27"/>
        <v>-3</v>
      </c>
      <c r="V30" s="8">
        <f t="shared" ref="V30:AA30" si="28">V31+10*LOG10(V28/V29)-V32</f>
        <v>0</v>
      </c>
      <c r="W30" s="8">
        <f t="shared" si="28"/>
        <v>-3</v>
      </c>
      <c r="X30" s="8">
        <f t="shared" si="28"/>
        <v>-3</v>
      </c>
      <c r="Y30" s="12">
        <f t="shared" si="28"/>
        <v>0</v>
      </c>
      <c r="Z30" s="12">
        <f t="shared" si="28"/>
        <v>-3</v>
      </c>
      <c r="AA30" s="12">
        <f t="shared" si="28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9">AE31+10*LOG10(AE28/AE29)-AE32</f>
        <v>0</v>
      </c>
      <c r="AF30" s="12">
        <f t="shared" si="29"/>
        <v>-3</v>
      </c>
      <c r="AG30" s="12">
        <f t="shared" si="29"/>
        <v>-3</v>
      </c>
      <c r="AH30" s="12">
        <f t="shared" si="29"/>
        <v>0</v>
      </c>
      <c r="AI30" s="12">
        <f t="shared" si="29"/>
        <v>-3</v>
      </c>
      <c r="AJ30" s="12">
        <f t="shared" si="29"/>
        <v>-3</v>
      </c>
      <c r="AK30" s="8">
        <f t="shared" si="29"/>
        <v>0</v>
      </c>
      <c r="AL30" s="8">
        <f t="shared" si="29"/>
        <v>-3</v>
      </c>
      <c r="AM30" s="8">
        <f t="shared" si="29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U30" si="30">AQ31+10*LOG10(AQ28/AQ29)-AQ32</f>
        <v>0</v>
      </c>
      <c r="AR30" s="8">
        <f t="shared" si="30"/>
        <v>-3</v>
      </c>
      <c r="AS30" s="8">
        <f t="shared" si="30"/>
        <v>-3</v>
      </c>
      <c r="AT30" s="45">
        <f t="shared" si="30"/>
        <v>0</v>
      </c>
      <c r="AU30" s="45">
        <f t="shared" si="30"/>
        <v>-3</v>
      </c>
      <c r="AV30" s="8"/>
    </row>
    <row r="31" spans="1:48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45">
        <v>0</v>
      </c>
      <c r="AU31" s="45">
        <v>-3</v>
      </c>
      <c r="AV31" s="8"/>
    </row>
    <row r="32" spans="1:48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45">
        <v>0</v>
      </c>
      <c r="AU32" s="45">
        <v>0</v>
      </c>
      <c r="AV32" s="8"/>
    </row>
    <row r="33" spans="1:48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45">
        <v>0</v>
      </c>
      <c r="AU33" s="45">
        <v>0</v>
      </c>
      <c r="AV33" s="8"/>
    </row>
    <row r="34" spans="1:48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45">
        <v>1</v>
      </c>
      <c r="AU34" s="45">
        <v>1</v>
      </c>
      <c r="AV34" s="8"/>
    </row>
    <row r="35" spans="1:48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45">
        <v>7</v>
      </c>
      <c r="AU35" s="45">
        <v>7</v>
      </c>
      <c r="AV35" s="8"/>
    </row>
    <row r="36" spans="1:48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45">
        <v>-174</v>
      </c>
      <c r="AU36" s="45">
        <v>-174</v>
      </c>
      <c r="AV36" s="8"/>
    </row>
    <row r="37" spans="1:48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45" t="s">
        <v>16</v>
      </c>
      <c r="AU37" s="45" t="s">
        <v>16</v>
      </c>
      <c r="AV37" s="8"/>
    </row>
    <row r="38" spans="1:48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  <c r="AN38" s="82">
        <v>-999</v>
      </c>
      <c r="AO38" s="82">
        <v>-999</v>
      </c>
      <c r="AP38" s="82">
        <v>-999</v>
      </c>
      <c r="AQ38" s="82">
        <v>-169.3</v>
      </c>
      <c r="AR38" s="82">
        <v>-169.3</v>
      </c>
      <c r="AS38" s="82">
        <v>-169.3</v>
      </c>
      <c r="AT38" s="83">
        <v>-999</v>
      </c>
      <c r="AU38" s="83">
        <v>-999</v>
      </c>
      <c r="AV38" s="82"/>
    </row>
    <row r="39" spans="1:48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88" t="s">
        <v>16</v>
      </c>
      <c r="AU39" s="88" t="s">
        <v>16</v>
      </c>
      <c r="AV39" s="9"/>
    </row>
    <row r="40" spans="1:48" ht="27.6">
      <c r="A40" s="7" t="s">
        <v>107</v>
      </c>
      <c r="B40" s="12">
        <f t="shared" ref="B40:I40" si="31">10*LOG10(10^((B35+B36)/10)+10^(B38/10))</f>
        <v>-167.00000000000003</v>
      </c>
      <c r="C40" s="12">
        <f t="shared" si="31"/>
        <v>-167.00000000000003</v>
      </c>
      <c r="D40" s="12">
        <f t="shared" si="31"/>
        <v>-167.00000000000003</v>
      </c>
      <c r="E40" s="12">
        <f t="shared" si="31"/>
        <v>-167.00000000000003</v>
      </c>
      <c r="F40" s="12">
        <f t="shared" si="31"/>
        <v>-167.00000000000003</v>
      </c>
      <c r="G40" s="71">
        <f t="shared" si="31"/>
        <v>-167.00000000000003</v>
      </c>
      <c r="H40" s="71">
        <f t="shared" si="31"/>
        <v>-167.00000000000003</v>
      </c>
      <c r="I40" s="71">
        <f t="shared" si="31"/>
        <v>-167.00000000000003</v>
      </c>
      <c r="J40" s="12">
        <f t="shared" ref="J40:O40" si="32">10*LOG10(10^((J35+J36)/10)+10^(J38/10))</f>
        <v>-167.00000000000003</v>
      </c>
      <c r="K40" s="12">
        <f t="shared" si="32"/>
        <v>-167.00000000000003</v>
      </c>
      <c r="L40" s="12">
        <f t="shared" si="32"/>
        <v>-167.00000000000003</v>
      </c>
      <c r="M40" s="12">
        <f t="shared" si="32"/>
        <v>-164.98918835931039</v>
      </c>
      <c r="N40" s="12">
        <f t="shared" si="32"/>
        <v>-164.98918835931039</v>
      </c>
      <c r="O40" s="12">
        <f t="shared" si="32"/>
        <v>-164.98918835931039</v>
      </c>
      <c r="P40" s="12">
        <f t="shared" ref="P40:U40" si="33">10*LOG10(10^((P35+P36)/10)+10^(P38/10))</f>
        <v>-167.00000000000003</v>
      </c>
      <c r="Q40" s="12">
        <f t="shared" si="33"/>
        <v>-167.00000000000003</v>
      </c>
      <c r="R40" s="12">
        <f t="shared" si="33"/>
        <v>-167.00000000000003</v>
      </c>
      <c r="S40" s="8">
        <f t="shared" si="33"/>
        <v>-167.00000000000003</v>
      </c>
      <c r="T40" s="8">
        <f t="shared" si="33"/>
        <v>-167.00000000000003</v>
      </c>
      <c r="U40" s="8">
        <f t="shared" si="33"/>
        <v>-167.00000000000003</v>
      </c>
      <c r="V40" s="8">
        <f t="shared" ref="V40:AA40" si="34">10*LOG10(10^((V35+V36)/10)+10^(V38/10))</f>
        <v>-164.98918835931039</v>
      </c>
      <c r="W40" s="8">
        <f t="shared" si="34"/>
        <v>-164.98918835931039</v>
      </c>
      <c r="X40" s="8">
        <f t="shared" si="34"/>
        <v>-164.98918835931039</v>
      </c>
      <c r="Y40" s="12">
        <f t="shared" si="34"/>
        <v>-167.00000000000003</v>
      </c>
      <c r="Z40" s="12">
        <f t="shared" si="34"/>
        <v>-167.00000000000003</v>
      </c>
      <c r="AA40" s="12">
        <f t="shared" si="3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35">10*LOG10(10^((AE35+AE36)/10)+10^(AE38/10))</f>
        <v>-164.98918835931039</v>
      </c>
      <c r="AF40" s="12">
        <f t="shared" si="35"/>
        <v>-164.98918835931039</v>
      </c>
      <c r="AG40" s="12">
        <f t="shared" si="35"/>
        <v>-164.98918835931039</v>
      </c>
      <c r="AH40" s="12">
        <f t="shared" si="35"/>
        <v>-167.00000000000003</v>
      </c>
      <c r="AI40" s="12">
        <f t="shared" si="35"/>
        <v>-167.00000000000003</v>
      </c>
      <c r="AJ40" s="12">
        <f t="shared" si="35"/>
        <v>-167.00000000000003</v>
      </c>
      <c r="AK40" s="8">
        <f t="shared" si="35"/>
        <v>-164.98918835931039</v>
      </c>
      <c r="AL40" s="8">
        <f t="shared" si="35"/>
        <v>-164.98918835931039</v>
      </c>
      <c r="AM40" s="8">
        <f t="shared" si="35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U40" si="36">10*LOG10(10^((AQ35+AQ36)/10)+10^(AQ38/10))</f>
        <v>-164.98918835931039</v>
      </c>
      <c r="AR40" s="8">
        <f t="shared" si="36"/>
        <v>-164.98918835931039</v>
      </c>
      <c r="AS40" s="8">
        <f t="shared" si="36"/>
        <v>-164.98918835931039</v>
      </c>
      <c r="AT40" s="45">
        <f t="shared" si="36"/>
        <v>-167.00000000000003</v>
      </c>
      <c r="AU40" s="45">
        <f t="shared" si="36"/>
        <v>-167.00000000000003</v>
      </c>
      <c r="AV40" s="8"/>
    </row>
    <row r="41" spans="1:48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45" t="s">
        <v>16</v>
      </c>
      <c r="AU41" s="45" t="s">
        <v>16</v>
      </c>
      <c r="AV41" s="8"/>
    </row>
    <row r="42" spans="1:48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37">3*360*1000</f>
        <v>1080000</v>
      </c>
      <c r="I42" s="74">
        <f t="shared" si="37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38">4*360*1000</f>
        <v>1440000</v>
      </c>
      <c r="O42" s="16">
        <f t="shared" si="38"/>
        <v>1440000</v>
      </c>
      <c r="P42" s="16">
        <f>3*360*1000</f>
        <v>1080000</v>
      </c>
      <c r="Q42" s="16">
        <f t="shared" ref="Q42:R42" si="39">3*360*1000</f>
        <v>1080000</v>
      </c>
      <c r="R42" s="16">
        <f t="shared" si="39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40">3*360*1000</f>
        <v>1080000</v>
      </c>
      <c r="X42" s="16">
        <f t="shared" si="40"/>
        <v>1080000</v>
      </c>
      <c r="Y42" s="16">
        <f>3*360*1000</f>
        <v>1080000</v>
      </c>
      <c r="Z42" s="16">
        <f t="shared" ref="Z42:AA42" si="41">3*360*1000</f>
        <v>1080000</v>
      </c>
      <c r="AA42" s="16">
        <f t="shared" si="41"/>
        <v>1080000</v>
      </c>
      <c r="AB42" s="16">
        <f>4*360*1000</f>
        <v>1440000</v>
      </c>
      <c r="AC42" s="16">
        <f>4*360*1000</f>
        <v>1440000</v>
      </c>
      <c r="AD42" s="16"/>
      <c r="AE42" s="16">
        <f>18*360*1000</f>
        <v>6480000</v>
      </c>
      <c r="AF42" s="16">
        <f>18*360*1000</f>
        <v>6480000</v>
      </c>
      <c r="AG42" s="16">
        <f>18*360*1000</f>
        <v>6480000</v>
      </c>
      <c r="AH42" s="16">
        <f>3*360*1000</f>
        <v>1080000</v>
      </c>
      <c r="AI42" s="16">
        <f t="shared" ref="AI42:AJ42" si="42">3*360*1000</f>
        <v>1080000</v>
      </c>
      <c r="AJ42" s="16">
        <f t="shared" si="42"/>
        <v>1080000</v>
      </c>
      <c r="AK42" s="16">
        <f>3*360*1000</f>
        <v>1080000</v>
      </c>
      <c r="AL42" s="16">
        <f>3*360*1000</f>
        <v>1080000</v>
      </c>
      <c r="AM42" s="16">
        <f>3*360*1000</f>
        <v>1080000</v>
      </c>
      <c r="AN42" s="16">
        <f>3*360*1000</f>
        <v>1080000</v>
      </c>
      <c r="AO42" s="16">
        <f t="shared" ref="AO42:AP42" si="43">3*360*1000</f>
        <v>1080000</v>
      </c>
      <c r="AP42" s="16">
        <f t="shared" si="43"/>
        <v>1080000</v>
      </c>
      <c r="AQ42" s="16">
        <f>3*360*1000</f>
        <v>1080000</v>
      </c>
      <c r="AR42" s="16">
        <f t="shared" ref="AR42:AS42" si="44">3*360*1000</f>
        <v>1080000</v>
      </c>
      <c r="AS42" s="16">
        <f t="shared" si="44"/>
        <v>1080000</v>
      </c>
      <c r="AT42" s="52">
        <f>3*360*1000</f>
        <v>1080000</v>
      </c>
      <c r="AU42" s="52">
        <f t="shared" ref="AU42" si="45">3*360*1000</f>
        <v>1080000</v>
      </c>
      <c r="AV42" s="16"/>
    </row>
    <row r="43" spans="1:48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45" t="s">
        <v>16</v>
      </c>
      <c r="AU43" s="45" t="s">
        <v>16</v>
      </c>
      <c r="AV43" s="8"/>
    </row>
    <row r="44" spans="1:48">
      <c r="A44" s="7" t="s">
        <v>72</v>
      </c>
      <c r="B44" s="12">
        <f t="shared" ref="B44:I44" si="46">B40+10*LOG10(B42)</f>
        <v>-105.41637507904753</v>
      </c>
      <c r="C44" s="12">
        <f t="shared" si="46"/>
        <v>-105.41637507904753</v>
      </c>
      <c r="D44" s="12">
        <f t="shared" si="46"/>
        <v>-105.41637507904753</v>
      </c>
      <c r="E44" s="12">
        <f t="shared" si="46"/>
        <v>-106.66576244513053</v>
      </c>
      <c r="F44" s="12">
        <f t="shared" si="46"/>
        <v>-106.66576244513053</v>
      </c>
      <c r="G44" s="71">
        <f t="shared" si="46"/>
        <v>-106.66576244513053</v>
      </c>
      <c r="H44" s="71">
        <f t="shared" si="46"/>
        <v>-106.66576244513053</v>
      </c>
      <c r="I44" s="71">
        <f t="shared" si="46"/>
        <v>-106.66576244513053</v>
      </c>
      <c r="J44" s="12">
        <f t="shared" ref="J44:O44" si="47">J40+10*LOG10(J42)</f>
        <v>-105.41637507904753</v>
      </c>
      <c r="K44" s="12">
        <f t="shared" si="47"/>
        <v>-105.41637507904753</v>
      </c>
      <c r="L44" s="12">
        <f t="shared" si="47"/>
        <v>-105.41637507904753</v>
      </c>
      <c r="M44" s="12">
        <f t="shared" si="47"/>
        <v>-103.40556343835789</v>
      </c>
      <c r="N44" s="12">
        <f t="shared" si="47"/>
        <v>-103.40556343835789</v>
      </c>
      <c r="O44" s="12">
        <f t="shared" si="47"/>
        <v>-103.40556343835789</v>
      </c>
      <c r="P44" s="12">
        <f t="shared" ref="P44:U44" si="48">P40+10*LOG10(P42)</f>
        <v>-106.66576244513053</v>
      </c>
      <c r="Q44" s="12">
        <f t="shared" si="48"/>
        <v>-106.66576244513053</v>
      </c>
      <c r="R44" s="12">
        <f t="shared" si="48"/>
        <v>-106.66576244513053</v>
      </c>
      <c r="S44" s="8">
        <f t="shared" si="48"/>
        <v>-106.66576244513053</v>
      </c>
      <c r="T44" s="8">
        <f t="shared" si="48"/>
        <v>-106.66576244513053</v>
      </c>
      <c r="U44" s="8">
        <f t="shared" si="48"/>
        <v>-106.66576244513053</v>
      </c>
      <c r="V44" s="8">
        <f t="shared" ref="V44:AA44" si="49">V40+10*LOG10(V42)</f>
        <v>-104.65495080444089</v>
      </c>
      <c r="W44" s="8">
        <f t="shared" si="49"/>
        <v>-104.65495080444089</v>
      </c>
      <c r="X44" s="8">
        <f t="shared" si="49"/>
        <v>-104.65495080444089</v>
      </c>
      <c r="Y44" s="12">
        <f t="shared" si="49"/>
        <v>-106.66576244513053</v>
      </c>
      <c r="Z44" s="12">
        <f t="shared" si="49"/>
        <v>-106.66576244513053</v>
      </c>
      <c r="AA44" s="12">
        <f t="shared" si="49"/>
        <v>-106.66576244513053</v>
      </c>
      <c r="AB44" s="12">
        <f>AB40+10*LOG10(AB42)</f>
        <v>-103.40556343835789</v>
      </c>
      <c r="AC44" s="12">
        <f>AC40+10*LOG10(AC42)</f>
        <v>-103.40556343835789</v>
      </c>
      <c r="AD44" s="12"/>
      <c r="AE44" s="12">
        <f t="shared" ref="AE44:AM44" si="50">AE40+10*LOG10(AE42)</f>
        <v>-96.873438300604462</v>
      </c>
      <c r="AF44" s="12">
        <f t="shared" si="50"/>
        <v>-96.873438300604462</v>
      </c>
      <c r="AG44" s="12">
        <f t="shared" si="50"/>
        <v>-96.873438300604462</v>
      </c>
      <c r="AH44" s="12">
        <f t="shared" si="50"/>
        <v>-106.66576244513053</v>
      </c>
      <c r="AI44" s="12">
        <f t="shared" si="50"/>
        <v>-106.66576244513053</v>
      </c>
      <c r="AJ44" s="12">
        <f t="shared" si="50"/>
        <v>-106.66576244513053</v>
      </c>
      <c r="AK44" s="8">
        <f t="shared" si="50"/>
        <v>-104.65495080444089</v>
      </c>
      <c r="AL44" s="8">
        <f t="shared" si="50"/>
        <v>-104.65495080444089</v>
      </c>
      <c r="AM44" s="8">
        <f t="shared" si="50"/>
        <v>-104.65495080444089</v>
      </c>
      <c r="AN44" s="8">
        <f>AN40+10*LOG10(AN42)</f>
        <v>-106.66576244513053</v>
      </c>
      <c r="AO44" s="8">
        <f>AO40+10*LOG10(AO42)</f>
        <v>-106.66576244513053</v>
      </c>
      <c r="AP44" s="8">
        <f>AP40+10*LOG10(AP42)</f>
        <v>-106.66576244513053</v>
      </c>
      <c r="AQ44" s="8">
        <f t="shared" ref="AQ44:AU44" si="51">AQ40+10*LOG10(AQ42)</f>
        <v>-104.65495080444089</v>
      </c>
      <c r="AR44" s="8">
        <f t="shared" si="51"/>
        <v>-104.65495080444089</v>
      </c>
      <c r="AS44" s="8">
        <f t="shared" si="51"/>
        <v>-104.65495080444089</v>
      </c>
      <c r="AT44" s="45">
        <f t="shared" si="51"/>
        <v>-106.66576244513053</v>
      </c>
      <c r="AU44" s="45">
        <f t="shared" si="51"/>
        <v>-106.66576244513053</v>
      </c>
      <c r="AV44" s="8"/>
    </row>
    <row r="45" spans="1:48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45" t="s">
        <v>16</v>
      </c>
      <c r="AU45" s="45" t="s">
        <v>16</v>
      </c>
      <c r="AV45" s="8"/>
    </row>
    <row r="46" spans="1:48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  <c r="AB46" s="16">
        <v>-4</v>
      </c>
      <c r="AC46" s="16">
        <v>-0.8</v>
      </c>
      <c r="AD46" s="16"/>
      <c r="AE46" s="16">
        <v>-8.34</v>
      </c>
      <c r="AF46" s="16">
        <v>-4.8499999999999996</v>
      </c>
      <c r="AG46" s="16">
        <v>-0.56000000000000005</v>
      </c>
      <c r="AH46" s="16">
        <v>-9</v>
      </c>
      <c r="AI46" s="16">
        <v>-6</v>
      </c>
      <c r="AJ46" s="16">
        <v>-3</v>
      </c>
      <c r="AK46" s="82">
        <v>-5</v>
      </c>
      <c r="AL46" s="82">
        <v>-1.5</v>
      </c>
      <c r="AM46" s="82">
        <v>4</v>
      </c>
      <c r="AN46" s="16">
        <v>-4.0999999999999996</v>
      </c>
      <c r="AO46" s="16">
        <v>-0.4</v>
      </c>
      <c r="AP46" s="16">
        <v>4.5</v>
      </c>
      <c r="AQ46" s="16">
        <v>-6.5</v>
      </c>
      <c r="AR46" s="16">
        <v>-3.2</v>
      </c>
      <c r="AS46" s="16">
        <v>0.7</v>
      </c>
      <c r="AT46" s="52">
        <v>-11.9</v>
      </c>
      <c r="AU46" s="52">
        <v>-9.1999999999999993</v>
      </c>
      <c r="AV46" s="16"/>
    </row>
    <row r="47" spans="1:48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45">
        <v>2</v>
      </c>
      <c r="AU47" s="45">
        <v>2</v>
      </c>
      <c r="AV47" s="8"/>
    </row>
    <row r="48" spans="1:48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45" t="s">
        <v>16</v>
      </c>
      <c r="AU48" s="45" t="s">
        <v>16</v>
      </c>
      <c r="AV48" s="8"/>
    </row>
    <row r="49" spans="1:48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45">
        <v>0</v>
      </c>
      <c r="AU49" s="45">
        <v>0</v>
      </c>
      <c r="AV49" s="8"/>
    </row>
    <row r="50" spans="1:48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88" t="s">
        <v>16</v>
      </c>
      <c r="AU50" s="88" t="s">
        <v>16</v>
      </c>
      <c r="AV50" s="9"/>
    </row>
    <row r="51" spans="1:48" ht="27.6">
      <c r="A51" s="7" t="s">
        <v>82</v>
      </c>
      <c r="B51" s="12">
        <f t="shared" ref="B51:I51" si="52">B44+B46+B47-B49</f>
        <v>-110.91637507904753</v>
      </c>
      <c r="C51" s="12">
        <f t="shared" si="52"/>
        <v>-107.41637507904753</v>
      </c>
      <c r="D51" s="12">
        <f t="shared" si="52"/>
        <v>-102.21637507904752</v>
      </c>
      <c r="E51" s="12">
        <f t="shared" si="52"/>
        <v>-116.89576244513053</v>
      </c>
      <c r="F51" s="12">
        <f t="shared" si="52"/>
        <v>-113.18576244513052</v>
      </c>
      <c r="G51" s="71">
        <f t="shared" si="52"/>
        <v>-112.09576244513053</v>
      </c>
      <c r="H51" s="71">
        <f t="shared" si="52"/>
        <v>-108.11576244513053</v>
      </c>
      <c r="I51" s="71">
        <f t="shared" si="52"/>
        <v>-102.08576244513053</v>
      </c>
      <c r="J51" s="12">
        <f t="shared" ref="J51:O51" si="53">J44+J46+J47-J49</f>
        <v>-110.11637507904753</v>
      </c>
      <c r="K51" s="12">
        <f t="shared" si="53"/>
        <v>-105.34637507904753</v>
      </c>
      <c r="L51" s="12">
        <f t="shared" si="53"/>
        <v>-99.216375079047523</v>
      </c>
      <c r="M51" s="12">
        <f t="shared" si="53"/>
        <v>-109.38556343835789</v>
      </c>
      <c r="N51" s="12">
        <f t="shared" si="53"/>
        <v>-104.84556343835789</v>
      </c>
      <c r="O51" s="12">
        <f t="shared" si="53"/>
        <v>-99.905563438357888</v>
      </c>
      <c r="P51" s="12">
        <f t="shared" ref="P51:U51" si="54">P44+P46+P47-P49</f>
        <v>-112.76576244513052</v>
      </c>
      <c r="Q51" s="12">
        <f t="shared" si="54"/>
        <v>-108.26576244513052</v>
      </c>
      <c r="R51" s="12">
        <f t="shared" si="54"/>
        <v>-103.06576244513053</v>
      </c>
      <c r="S51" s="8">
        <f t="shared" si="54"/>
        <v>-110.66576244513053</v>
      </c>
      <c r="T51" s="8">
        <f t="shared" si="54"/>
        <v>-108.16576244513053</v>
      </c>
      <c r="U51" s="8">
        <f t="shared" si="54"/>
        <v>-105.16576244513053</v>
      </c>
      <c r="V51" s="8">
        <f t="shared" ref="V51:AA51" si="55">V44+V46+V47-V49</f>
        <v>-110.15495080444089</v>
      </c>
      <c r="W51" s="8">
        <f t="shared" si="55"/>
        <v>-107.35495080444089</v>
      </c>
      <c r="X51" s="8">
        <f t="shared" si="55"/>
        <v>-103.65495080444089</v>
      </c>
      <c r="Y51" s="12">
        <f t="shared" si="55"/>
        <v>-110.37576244513052</v>
      </c>
      <c r="Z51" s="12">
        <f t="shared" si="55"/>
        <v>-105.83576244513053</v>
      </c>
      <c r="AA51" s="12">
        <f t="shared" si="55"/>
        <v>-100.15576244513052</v>
      </c>
      <c r="AB51" s="12">
        <f>AB44+AB46+AB47-AB49</f>
        <v>-105.40556343835789</v>
      </c>
      <c r="AC51" s="12">
        <f>AC44+AC46+AC47-AC49</f>
        <v>-102.20556343835788</v>
      </c>
      <c r="AD51" s="12"/>
      <c r="AE51" s="12">
        <f t="shared" ref="AE51:AM51" si="56">AE44+AE46+AE47-AE49</f>
        <v>-103.21343830060447</v>
      </c>
      <c r="AF51" s="12">
        <f t="shared" si="56"/>
        <v>-99.723438300604457</v>
      </c>
      <c r="AG51" s="12">
        <f t="shared" si="56"/>
        <v>-95.433438300604465</v>
      </c>
      <c r="AH51" s="12">
        <f t="shared" si="56"/>
        <v>-113.66576244513053</v>
      </c>
      <c r="AI51" s="12">
        <f t="shared" si="56"/>
        <v>-110.66576244513053</v>
      </c>
      <c r="AJ51" s="12">
        <f t="shared" si="56"/>
        <v>-107.66576244513053</v>
      </c>
      <c r="AK51" s="8">
        <f t="shared" si="56"/>
        <v>-107.65495080444089</v>
      </c>
      <c r="AL51" s="8">
        <f t="shared" si="56"/>
        <v>-104.15495080444089</v>
      </c>
      <c r="AM51" s="8">
        <f t="shared" si="56"/>
        <v>-98.654950804440887</v>
      </c>
      <c r="AN51" s="8">
        <f>AN44+AN46+AN47-AN49</f>
        <v>-108.76576244513052</v>
      </c>
      <c r="AO51" s="8">
        <f>AO44+AO46+AO47-AO49</f>
        <v>-105.06576244513053</v>
      </c>
      <c r="AP51" s="8">
        <f>AP44+AP46+AP47-AP49</f>
        <v>-100.16576244513053</v>
      </c>
      <c r="AQ51" s="8">
        <f t="shared" ref="AQ51:AU51" si="57">AQ44+AQ46+AQ47-AQ49</f>
        <v>-109.15495080444089</v>
      </c>
      <c r="AR51" s="8">
        <f t="shared" si="57"/>
        <v>-105.85495080444089</v>
      </c>
      <c r="AS51" s="8">
        <f t="shared" si="57"/>
        <v>-101.95495080444088</v>
      </c>
      <c r="AT51" s="45">
        <f t="shared" si="57"/>
        <v>-116.56576244513053</v>
      </c>
      <c r="AU51" s="45">
        <f t="shared" si="57"/>
        <v>-113.86576244513053</v>
      </c>
      <c r="AV51" s="8"/>
    </row>
    <row r="52" spans="1:48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  <c r="AN52" s="85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  <c r="AT52" s="89" t="s">
        <v>16</v>
      </c>
      <c r="AU52" s="89" t="s">
        <v>16</v>
      </c>
      <c r="AV52" s="85"/>
    </row>
    <row r="53" spans="1:48" ht="27.6">
      <c r="A53" s="29" t="s">
        <v>85</v>
      </c>
      <c r="B53" s="22">
        <f t="shared" ref="B53:G53" si="58">B26+B30+B33-B34-B51</f>
        <v>162.27121254719665</v>
      </c>
      <c r="C53" s="22">
        <f t="shared" si="58"/>
        <v>155.77121254719665</v>
      </c>
      <c r="D53" s="22">
        <f t="shared" si="58"/>
        <v>150.57121254719664</v>
      </c>
      <c r="E53" s="22">
        <f t="shared" si="58"/>
        <v>157.66121254719664</v>
      </c>
      <c r="F53" s="22">
        <f t="shared" si="58"/>
        <v>150.95121254719663</v>
      </c>
      <c r="G53" s="76">
        <f t="shared" si="58"/>
        <v>162.20121254719666</v>
      </c>
      <c r="H53" s="76">
        <f t="shared" ref="H53:I53" si="59">H26+H30+H33-H34-H51</f>
        <v>155.22121254719664</v>
      </c>
      <c r="I53" s="76">
        <f t="shared" si="59"/>
        <v>149.19121254719664</v>
      </c>
      <c r="J53" s="22">
        <f>J26+J30+J33-J34-J51</f>
        <v>161.47121254719664</v>
      </c>
      <c r="K53" s="22">
        <f t="shared" ref="K53:L53" si="60">K26+K30+K33-K34-K51</f>
        <v>153.70121254719666</v>
      </c>
      <c r="L53" s="22">
        <f t="shared" si="60"/>
        <v>147.57121254719664</v>
      </c>
      <c r="M53" s="22">
        <f>M26+M30+M33-M34-M51</f>
        <v>157.14190068970606</v>
      </c>
      <c r="N53" s="22">
        <f t="shared" ref="N53:O53" si="61">N26+N30+N33-N34-N51</f>
        <v>149.60190068970607</v>
      </c>
      <c r="O53" s="22">
        <f t="shared" si="61"/>
        <v>144.66190068970607</v>
      </c>
      <c r="P53" s="22">
        <f>P26+P30+P33-P34-P51</f>
        <v>162.87121254719665</v>
      </c>
      <c r="Q53" s="22">
        <f t="shared" ref="Q53:R53" si="62">Q26+Q30+Q33-Q34-Q51</f>
        <v>155.37121254719665</v>
      </c>
      <c r="R53" s="22">
        <f t="shared" si="62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63">W26+W30+W33-W34-W51</f>
        <v>161.51040090650702</v>
      </c>
      <c r="X53" s="22">
        <f t="shared" si="63"/>
        <v>157.81040090650703</v>
      </c>
      <c r="Y53" s="22">
        <f>Y26+Y30+Y33-Y34-Y51</f>
        <v>160.48121254719663</v>
      </c>
      <c r="Z53" s="22">
        <f t="shared" ref="Z53:AA53" si="64">Z26+Z30+Z33-Z34-Z51</f>
        <v>152.94121254719664</v>
      </c>
      <c r="AA53" s="22">
        <f t="shared" si="64"/>
        <v>147.26121254719664</v>
      </c>
      <c r="AB53" s="22">
        <f>AB26+AB30+AB33-AB34-AB51</f>
        <v>160.76040090650702</v>
      </c>
      <c r="AC53" s="22">
        <f t="shared" ref="AC53" si="65">AC26+AC30+AC33-AC34-AC51</f>
        <v>154.560400906507</v>
      </c>
      <c r="AD53" s="22"/>
      <c r="AE53" s="22">
        <f>AE26+AE30+AE33-AE34-AE51</f>
        <v>161.10040090650702</v>
      </c>
      <c r="AF53" s="22">
        <f t="shared" ref="AF53:AG53" si="66">AF26+AF30+AF33-AF34-AF51</f>
        <v>154.61040090650701</v>
      </c>
      <c r="AG53" s="22">
        <f t="shared" si="66"/>
        <v>150.32040090650702</v>
      </c>
      <c r="AH53" s="22">
        <f>AH26+AH30+AH33-AH34-AH51</f>
        <v>163.77121254719665</v>
      </c>
      <c r="AI53" s="22">
        <f t="shared" ref="AI53:AJ53" si="67">AI26+AI30+AI33-AI34-AI51</f>
        <v>157.77121254719665</v>
      </c>
      <c r="AJ53" s="22">
        <f t="shared" si="67"/>
        <v>154.77121254719665</v>
      </c>
      <c r="AK53" s="22">
        <f>AK26+AK30+AK33-AK34-AK51</f>
        <v>153.76040090650702</v>
      </c>
      <c r="AL53" s="22">
        <f t="shared" ref="AL53:AM53" si="68">AL26+AL30+AL33-AL34-AL51</f>
        <v>147.26040090650702</v>
      </c>
      <c r="AM53" s="22">
        <f t="shared" si="68"/>
        <v>141.76040090650702</v>
      </c>
      <c r="AN53" s="22">
        <f>AN26+AN30+AN33-AN34-AN51</f>
        <v>156.87121254719665</v>
      </c>
      <c r="AO53" s="22">
        <f t="shared" ref="AO53:AP53" si="69">AO26+AO30+AO33-AO34-AO51</f>
        <v>150.17121254719666</v>
      </c>
      <c r="AP53" s="22">
        <f t="shared" si="69"/>
        <v>145.27121254719665</v>
      </c>
      <c r="AQ53" s="22">
        <f>AQ26+AQ30+AQ33-AQ34-AQ51</f>
        <v>158.26040090650702</v>
      </c>
      <c r="AR53" s="22">
        <f t="shared" ref="AR53:AS53" si="70">AR26+AR30+AR33-AR34-AR51</f>
        <v>151.960400906507</v>
      </c>
      <c r="AS53" s="22">
        <f t="shared" si="70"/>
        <v>148.060400906507</v>
      </c>
      <c r="AT53" s="58">
        <f>AT26+AT30+AT33-AT34-AT51</f>
        <v>166.38121254719664</v>
      </c>
      <c r="AU53" s="58">
        <f t="shared" ref="AU53" si="71">AU26+AU30+AU33-AU34-AU51</f>
        <v>160.68121254719665</v>
      </c>
      <c r="AV53" s="22"/>
    </row>
    <row r="54" spans="1:48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51"/>
      <c r="AU54" s="51"/>
      <c r="AV54" s="13"/>
    </row>
    <row r="55" spans="1:48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3">
        <v>7</v>
      </c>
      <c r="AU55" s="83">
        <v>7</v>
      </c>
      <c r="AV55" s="82"/>
    </row>
    <row r="56" spans="1:48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88" t="s">
        <v>16</v>
      </c>
      <c r="AU56" s="88" t="s">
        <v>16</v>
      </c>
      <c r="AV56" s="9"/>
    </row>
    <row r="57" spans="1:48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  <c r="AT57" s="83">
        <v>4.4800000000000004</v>
      </c>
      <c r="AU57" s="83">
        <v>4.4800000000000004</v>
      </c>
      <c r="AV57" s="82"/>
    </row>
    <row r="58" spans="1:48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3">
        <v>0</v>
      </c>
      <c r="AU58" s="83">
        <v>0</v>
      </c>
      <c r="AV58" s="82"/>
    </row>
    <row r="59" spans="1:48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3">
        <v>26.25</v>
      </c>
      <c r="AU59" s="83">
        <v>26.25</v>
      </c>
      <c r="AV59" s="82"/>
    </row>
    <row r="60" spans="1:48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3">
        <v>0</v>
      </c>
      <c r="AU60" s="83">
        <v>0</v>
      </c>
      <c r="AV60" s="82"/>
    </row>
    <row r="61" spans="1:48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  <c r="AN61" s="85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  <c r="AT61" s="89" t="s">
        <v>16</v>
      </c>
      <c r="AU61" s="89" t="s">
        <v>16</v>
      </c>
      <c r="AV61" s="85"/>
    </row>
    <row r="62" spans="1:48" ht="27.6">
      <c r="A62" s="29" t="s">
        <v>109</v>
      </c>
      <c r="B62" s="22">
        <f t="shared" ref="B62:G62" si="72">B53-B57+B58-B59+B60</f>
        <v>131.54121254719666</v>
      </c>
      <c r="C62" s="22">
        <f t="shared" si="72"/>
        <v>125.04121254719666</v>
      </c>
      <c r="D62" s="22">
        <f t="shared" si="72"/>
        <v>119.84121254719665</v>
      </c>
      <c r="E62" s="22">
        <f t="shared" si="72"/>
        <v>126.93121254719665</v>
      </c>
      <c r="F62" s="22">
        <f t="shared" si="72"/>
        <v>120.22121254719664</v>
      </c>
      <c r="G62" s="76">
        <f t="shared" si="72"/>
        <v>131.47121254719667</v>
      </c>
      <c r="H62" s="76">
        <f t="shared" ref="H62:I62" si="73">H53-H57+H58-H59+H60</f>
        <v>124.49121254719665</v>
      </c>
      <c r="I62" s="76">
        <f t="shared" si="73"/>
        <v>118.46121254719665</v>
      </c>
      <c r="J62" s="22">
        <f>J53-J57+J58-J59+J60</f>
        <v>130.74121254719665</v>
      </c>
      <c r="K62" s="22">
        <f t="shared" ref="K62:L62" si="74">K53-K57+K58-K59+K60</f>
        <v>122.97121254719667</v>
      </c>
      <c r="L62" s="22">
        <f t="shared" si="74"/>
        <v>116.84121254719665</v>
      </c>
      <c r="M62" s="22">
        <f>M53-M57+M58-M59+M60</f>
        <v>126.41190068970607</v>
      </c>
      <c r="N62" s="22">
        <f t="shared" ref="N62:O62" si="75">N53-N57+N58-N59+N60</f>
        <v>118.87190068970608</v>
      </c>
      <c r="O62" s="22">
        <f t="shared" si="75"/>
        <v>113.93190068970608</v>
      </c>
      <c r="P62" s="22">
        <f>P53-P57+P58-P59+P60</f>
        <v>132.14121254719666</v>
      </c>
      <c r="Q62" s="22">
        <f t="shared" ref="Q62:R62" si="76">Q53-Q57+Q58-Q59+Q60</f>
        <v>124.64121254719666</v>
      </c>
      <c r="R62" s="22">
        <f t="shared" si="76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77">W53-W57+W58-W59+W60</f>
        <v>130.78040090650703</v>
      </c>
      <c r="X62" s="22">
        <f t="shared" si="77"/>
        <v>127.08040090650704</v>
      </c>
      <c r="Y62" s="22">
        <f>Y53-Y57+Y58-Y59+Y60</f>
        <v>129.75121254719664</v>
      </c>
      <c r="Z62" s="22">
        <f t="shared" ref="Z62:AA62" si="78">Z53-Z57+Z58-Z59+Z60</f>
        <v>122.21121254719665</v>
      </c>
      <c r="AA62" s="22">
        <f t="shared" si="78"/>
        <v>116.53121254719665</v>
      </c>
      <c r="AB62" s="22">
        <f>AB53-AB57+AB58-AB59+AB60</f>
        <v>130.03040090650703</v>
      </c>
      <c r="AC62" s="22">
        <f t="shared" ref="AC62" si="79">AC53-AC57+AC58-AC59+AC60</f>
        <v>123.83040090650701</v>
      </c>
      <c r="AD62" s="22"/>
      <c r="AE62" s="22">
        <f>AE53-AE57+AE58-AE59+AE60</f>
        <v>133.37040090650703</v>
      </c>
      <c r="AF62" s="22">
        <f t="shared" ref="AF62:AG62" si="80">AF53-AF57+AF58-AF59+AF60</f>
        <v>126.88040090650702</v>
      </c>
      <c r="AG62" s="22">
        <f t="shared" si="80"/>
        <v>122.59040090650703</v>
      </c>
      <c r="AH62" s="22">
        <f>AH53-AH57+AH58-AH59+AH60</f>
        <v>133.04121254719666</v>
      </c>
      <c r="AI62" s="22">
        <f t="shared" ref="AI62:AJ62" si="81">AI53-AI57+AI58-AI59+AI60</f>
        <v>127.04121254719666</v>
      </c>
      <c r="AJ62" s="22">
        <f t="shared" si="81"/>
        <v>124.04121254719666</v>
      </c>
      <c r="AK62" s="22">
        <f>AK53-AK57+AK58-AK59+AK60</f>
        <v>123.03040090650703</v>
      </c>
      <c r="AL62" s="22">
        <f t="shared" ref="AL62:AM62" si="82">AL53-AL57+AL58-AL59+AL60</f>
        <v>116.53040090650703</v>
      </c>
      <c r="AM62" s="22">
        <f t="shared" si="82"/>
        <v>111.03040090650703</v>
      </c>
      <c r="AN62" s="22">
        <f>AN53-AN57+AN58-AN59+AN60</f>
        <v>126.14121254719666</v>
      </c>
      <c r="AO62" s="22">
        <f t="shared" ref="AO62:AP62" si="83">AO53-AO57+AO58-AO59+AO60</f>
        <v>119.44121254719667</v>
      </c>
      <c r="AP62" s="22">
        <f t="shared" si="83"/>
        <v>114.54121254719666</v>
      </c>
      <c r="AQ62" s="22">
        <f>AQ53-AQ57+AQ58-AQ59+AQ60</f>
        <v>127.53040090650703</v>
      </c>
      <c r="AR62" s="22">
        <f t="shared" ref="AR62:AS62" si="84">AR53-AR57+AR58-AR59+AR60</f>
        <v>121.23040090650701</v>
      </c>
      <c r="AS62" s="22">
        <f t="shared" si="84"/>
        <v>117.33040090650701</v>
      </c>
      <c r="AT62" s="58">
        <f>AT53-AT57+AT58-AT59+AT60</f>
        <v>135.65121254719665</v>
      </c>
      <c r="AU62" s="58">
        <f t="shared" ref="AU62" si="85">AU53-AU57+AU58-AU59+AU60</f>
        <v>129.95121254719666</v>
      </c>
      <c r="AV62" s="22"/>
    </row>
    <row r="63" spans="1:48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  <c r="AU63" s="90"/>
      <c r="AV63" s="2"/>
    </row>
    <row r="64" spans="1:48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  <c r="AN64" s="85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  <c r="AT64" s="89" t="s">
        <v>16</v>
      </c>
      <c r="AU64" s="89" t="s">
        <v>16</v>
      </c>
      <c r="AV64" s="85"/>
    </row>
    <row r="65" spans="1:48">
      <c r="A65" s="29" t="s">
        <v>98</v>
      </c>
      <c r="B65" s="22">
        <f t="shared" ref="B65:I65" si="86">B17-B23-B51+B21+B33</f>
        <v>153.50000000000003</v>
      </c>
      <c r="C65" s="22">
        <f t="shared" si="86"/>
        <v>150.00000000000003</v>
      </c>
      <c r="D65" s="22">
        <f t="shared" si="86"/>
        <v>144.80000000000001</v>
      </c>
      <c r="E65" s="22">
        <f t="shared" si="86"/>
        <v>151.84000000000003</v>
      </c>
      <c r="F65" s="22">
        <f t="shared" si="86"/>
        <v>148.13000000000002</v>
      </c>
      <c r="G65" s="76">
        <f t="shared" si="86"/>
        <v>153.43000000000004</v>
      </c>
      <c r="H65" s="76">
        <f t="shared" si="86"/>
        <v>149.45000000000002</v>
      </c>
      <c r="I65" s="76">
        <f t="shared" si="86"/>
        <v>143.42000000000002</v>
      </c>
      <c r="J65" s="22">
        <f t="shared" ref="J65:O65" si="87">J17-J23-J51+J21+J33</f>
        <v>152.70000000000002</v>
      </c>
      <c r="K65" s="22">
        <f t="shared" si="87"/>
        <v>147.93000000000004</v>
      </c>
      <c r="L65" s="22">
        <f t="shared" si="87"/>
        <v>141.80000000000001</v>
      </c>
      <c r="M65" s="22">
        <f t="shared" si="87"/>
        <v>151.02068814250944</v>
      </c>
      <c r="N65" s="22">
        <f t="shared" si="87"/>
        <v>146.48068814250945</v>
      </c>
      <c r="O65" s="22">
        <f t="shared" si="87"/>
        <v>141.54068814250945</v>
      </c>
      <c r="P65" s="22">
        <f t="shared" ref="P65:U65" si="88">P17-P23-P51+P21+P33</f>
        <v>154.10000000000002</v>
      </c>
      <c r="Q65" s="22">
        <f t="shared" si="88"/>
        <v>149.60000000000002</v>
      </c>
      <c r="R65" s="22">
        <f t="shared" si="88"/>
        <v>144.40000000000003</v>
      </c>
      <c r="S65" s="22">
        <f t="shared" si="88"/>
        <v>154.00000000000003</v>
      </c>
      <c r="T65" s="22">
        <f t="shared" si="88"/>
        <v>151.50000000000003</v>
      </c>
      <c r="U65" s="22">
        <f t="shared" si="88"/>
        <v>148.50000000000003</v>
      </c>
      <c r="V65" s="22">
        <f t="shared" ref="V65:AA65" si="89">V17-V23-V51+V21+V33</f>
        <v>158.5391883593104</v>
      </c>
      <c r="W65" s="22">
        <f t="shared" si="89"/>
        <v>155.73918835931039</v>
      </c>
      <c r="X65" s="22">
        <f t="shared" si="89"/>
        <v>152.0391883593104</v>
      </c>
      <c r="Y65" s="22">
        <f t="shared" si="89"/>
        <v>151.71</v>
      </c>
      <c r="Z65" s="22">
        <f t="shared" si="89"/>
        <v>147.17000000000002</v>
      </c>
      <c r="AA65" s="22">
        <f t="shared" si="89"/>
        <v>141.49</v>
      </c>
      <c r="AB65" s="22">
        <f>AB17-AB23-AB51+AB21+AB33</f>
        <v>151.98918835931039</v>
      </c>
      <c r="AC65" s="22">
        <f>AC17-AC23-AC51+AC21+AC33</f>
        <v>148.78918835931037</v>
      </c>
      <c r="AD65" s="22"/>
      <c r="AE65" s="22">
        <f t="shared" ref="AE65:AM65" si="90">AE17-AE23-AE51+AE21+AE33</f>
        <v>152.32918835931039</v>
      </c>
      <c r="AF65" s="22">
        <f t="shared" si="90"/>
        <v>148.83918835931038</v>
      </c>
      <c r="AG65" s="22">
        <f t="shared" si="90"/>
        <v>144.54918835931039</v>
      </c>
      <c r="AH65" s="22">
        <f t="shared" si="90"/>
        <v>155.00000000000003</v>
      </c>
      <c r="AI65" s="22">
        <f t="shared" si="90"/>
        <v>152.00000000000003</v>
      </c>
      <c r="AJ65" s="22">
        <f t="shared" si="90"/>
        <v>149.00000000000003</v>
      </c>
      <c r="AK65" s="22">
        <f t="shared" si="90"/>
        <v>144.98918835931039</v>
      </c>
      <c r="AL65" s="22">
        <f t="shared" si="90"/>
        <v>141.48918835931039</v>
      </c>
      <c r="AM65" s="22">
        <f t="shared" si="90"/>
        <v>135.98918835931039</v>
      </c>
      <c r="AN65" s="22">
        <f>AN17-AN23-AN51+AN21+AN33</f>
        <v>148.10000000000002</v>
      </c>
      <c r="AO65" s="22">
        <f>AO17-AO23-AO51+AO21+AO33</f>
        <v>144.40000000000003</v>
      </c>
      <c r="AP65" s="22">
        <f>AP17-AP23-AP51+AP21+AP33</f>
        <v>139.50000000000003</v>
      </c>
      <c r="AQ65" s="22">
        <f t="shared" ref="AQ65:AU65" si="91">AQ17-AQ23-AQ51+AQ21+AQ33</f>
        <v>149.48918835931039</v>
      </c>
      <c r="AR65" s="22">
        <f t="shared" si="91"/>
        <v>146.18918835931038</v>
      </c>
      <c r="AS65" s="22">
        <f t="shared" si="91"/>
        <v>142.28918835931037</v>
      </c>
      <c r="AT65" s="58">
        <f t="shared" si="91"/>
        <v>161.90000000000003</v>
      </c>
      <c r="AU65" s="58">
        <f t="shared" si="91"/>
        <v>159.20000000000002</v>
      </c>
      <c r="AV65" s="22"/>
    </row>
  </sheetData>
  <mergeCells count="16">
    <mergeCell ref="AT1:AV1"/>
    <mergeCell ref="B1:D1"/>
    <mergeCell ref="E1:F1"/>
    <mergeCell ref="G1:I1"/>
    <mergeCell ref="J1:L1"/>
    <mergeCell ref="M1:O1"/>
    <mergeCell ref="AQ1:AS1"/>
    <mergeCell ref="AN1:AP1"/>
    <mergeCell ref="AK1:AM1"/>
    <mergeCell ref="AH1:AJ1"/>
    <mergeCell ref="P1:R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65"/>
  <sheetViews>
    <sheetView zoomScale="85" zoomScaleNormal="85" workbookViewId="0">
      <pane xSplit="1" ySplit="1" topLeftCell="AL2" activePane="bottomRight" state="frozen"/>
      <selection pane="topRight"/>
      <selection pane="bottomLeft"/>
      <selection pane="bottomRight" activeCell="AV2" sqref="AV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3.09765625" style="1" bestFit="1" customWidth="1"/>
    <col min="17" max="18" width="15.59765625" style="1" bestFit="1" customWidth="1"/>
    <col min="19" max="19" width="21.59765625" style="1" customWidth="1"/>
    <col min="20" max="20" width="18.59765625" style="1" customWidth="1"/>
    <col min="21" max="21" width="18.0976562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30" width="18.09765625" style="1" customWidth="1"/>
    <col min="31" max="31" width="15.59765625" style="2" customWidth="1"/>
    <col min="32" max="33" width="15.59765625" style="1" customWidth="1"/>
    <col min="34" max="34" width="15.59765625" style="2" customWidth="1"/>
    <col min="35" max="36" width="15.59765625" style="1" customWidth="1"/>
    <col min="37" max="37" width="15.59765625" style="2" customWidth="1"/>
    <col min="38" max="39" width="15.59765625" style="1" customWidth="1"/>
    <col min="40" max="40" width="15.59765625" style="2" customWidth="1"/>
    <col min="41" max="42" width="15.59765625" style="1" customWidth="1"/>
    <col min="43" max="43" width="15.59765625" style="2" customWidth="1"/>
    <col min="44" max="45" width="15.59765625" style="1" customWidth="1"/>
    <col min="46" max="46" width="15.59765625" style="90" customWidth="1"/>
    <col min="47" max="48" width="15.59765625" style="1" customWidth="1"/>
    <col min="49" max="16384" width="9" style="1"/>
  </cols>
  <sheetData>
    <row r="1" spans="1:48" ht="14.25" customHeight="1">
      <c r="A1" s="3"/>
      <c r="B1" s="96" t="s">
        <v>100</v>
      </c>
      <c r="C1" s="96"/>
      <c r="D1" s="96"/>
      <c r="E1" s="96" t="s">
        <v>101</v>
      </c>
      <c r="F1" s="96"/>
      <c r="G1" s="97" t="s">
        <v>113</v>
      </c>
      <c r="H1" s="97"/>
      <c r="I1" s="97"/>
      <c r="J1" s="96" t="s">
        <v>114</v>
      </c>
      <c r="K1" s="96"/>
      <c r="L1" s="96"/>
      <c r="M1" s="96" t="s">
        <v>121</v>
      </c>
      <c r="N1" s="96"/>
      <c r="O1" s="96"/>
      <c r="P1" s="96" t="s">
        <v>126</v>
      </c>
      <c r="Q1" s="96"/>
      <c r="R1" s="96"/>
      <c r="S1" s="96" t="s">
        <v>127</v>
      </c>
      <c r="T1" s="96"/>
      <c r="U1" s="96"/>
      <c r="V1" s="96" t="s">
        <v>129</v>
      </c>
      <c r="W1" s="96"/>
      <c r="X1" s="96"/>
      <c r="Y1" s="96" t="s">
        <v>130</v>
      </c>
      <c r="Z1" s="96"/>
      <c r="AA1" s="96"/>
      <c r="AB1" s="96" t="s">
        <v>131</v>
      </c>
      <c r="AC1" s="96"/>
      <c r="AD1" s="96"/>
      <c r="AE1" s="96" t="s">
        <v>137</v>
      </c>
      <c r="AF1" s="96"/>
      <c r="AG1" s="96"/>
      <c r="AH1" s="96" t="s">
        <v>140</v>
      </c>
      <c r="AI1" s="96"/>
      <c r="AJ1" s="96"/>
      <c r="AK1" s="96" t="s">
        <v>142</v>
      </c>
      <c r="AL1" s="96"/>
      <c r="AM1" s="96"/>
      <c r="AN1" s="96" t="s">
        <v>144</v>
      </c>
      <c r="AO1" s="96"/>
      <c r="AP1" s="96"/>
      <c r="AQ1" s="96" t="s">
        <v>146</v>
      </c>
      <c r="AR1" s="96"/>
      <c r="AS1" s="96"/>
      <c r="AT1" s="96" t="s">
        <v>147</v>
      </c>
      <c r="AU1" s="96"/>
      <c r="AV1" s="96"/>
    </row>
    <row r="2" spans="1:48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  <c r="AQ2" s="5" t="s">
        <v>102</v>
      </c>
      <c r="AR2" s="6" t="s">
        <v>103</v>
      </c>
      <c r="AS2" s="6" t="s">
        <v>104</v>
      </c>
      <c r="AT2" s="87" t="s">
        <v>102</v>
      </c>
      <c r="AU2" s="86" t="s">
        <v>103</v>
      </c>
      <c r="AV2" s="6" t="s">
        <v>104</v>
      </c>
    </row>
    <row r="3" spans="1:48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45">
        <v>2.6</v>
      </c>
      <c r="AU3" s="45">
        <v>2.6</v>
      </c>
      <c r="AV3" s="8"/>
    </row>
    <row r="4" spans="1:48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45">
        <v>100</v>
      </c>
      <c r="AU4" s="45">
        <v>100</v>
      </c>
      <c r="AV4" s="8"/>
    </row>
    <row r="5" spans="1:48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88" t="s">
        <v>16</v>
      </c>
      <c r="AU5" s="88" t="s">
        <v>16</v>
      </c>
      <c r="AV5" s="9"/>
    </row>
    <row r="6" spans="1:48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  <c r="AT6" s="45" t="s">
        <v>16</v>
      </c>
      <c r="AU6" s="45" t="s">
        <v>16</v>
      </c>
      <c r="AV6" s="8"/>
    </row>
    <row r="7" spans="1:48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88" t="s">
        <v>16</v>
      </c>
      <c r="AU7" s="88" t="s">
        <v>16</v>
      </c>
      <c r="AV7" s="9"/>
    </row>
    <row r="8" spans="1:48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50">
        <v>0.1</v>
      </c>
      <c r="AU8" s="50">
        <v>0.1</v>
      </c>
      <c r="AV8" s="11"/>
    </row>
    <row r="9" spans="1:4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45" t="s">
        <v>22</v>
      </c>
      <c r="AU9" s="45" t="s">
        <v>22</v>
      </c>
      <c r="AV9" s="8"/>
    </row>
    <row r="10" spans="1:48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45">
        <v>3</v>
      </c>
      <c r="AU10" s="45">
        <v>3</v>
      </c>
      <c r="AV10" s="8"/>
    </row>
    <row r="11" spans="1:48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51"/>
      <c r="AU11" s="51"/>
      <c r="AV11" s="13"/>
    </row>
    <row r="12" spans="1:48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45">
        <v>192</v>
      </c>
      <c r="AU12" s="45">
        <v>192</v>
      </c>
      <c r="AV12" s="8"/>
    </row>
    <row r="13" spans="1:48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45">
        <v>64</v>
      </c>
      <c r="AU13" s="45">
        <v>64</v>
      </c>
      <c r="AV13" s="8"/>
    </row>
    <row r="14" spans="1:48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3">
        <v>4</v>
      </c>
      <c r="AU14" s="83">
        <v>4</v>
      </c>
      <c r="AV14" s="82"/>
    </row>
    <row r="15" spans="1:48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45">
        <v>33</v>
      </c>
      <c r="AU15" s="45">
        <v>33</v>
      </c>
      <c r="AV15" s="8"/>
    </row>
    <row r="16" spans="1:48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  <c r="AQ16" s="8">
        <f t="shared" ref="AQ16:AU16" si="5">AQ15+10*LOG10(AQ4)</f>
        <v>53</v>
      </c>
      <c r="AR16" s="8">
        <f t="shared" si="5"/>
        <v>53</v>
      </c>
      <c r="AS16" s="8">
        <f t="shared" si="5"/>
        <v>53</v>
      </c>
      <c r="AT16" s="45">
        <f t="shared" si="5"/>
        <v>53</v>
      </c>
      <c r="AU16" s="45">
        <f t="shared" si="5"/>
        <v>53</v>
      </c>
      <c r="AV16" s="8"/>
    </row>
    <row r="17" spans="1:48" ht="27.6">
      <c r="A17" s="7" t="s">
        <v>35</v>
      </c>
      <c r="B17" s="12">
        <f t="shared" ref="B17:I17" si="6">B15+10*LOG10(B42/1000000)</f>
        <v>44.126050015345747</v>
      </c>
      <c r="C17" s="12">
        <f t="shared" si="6"/>
        <v>44.126050015345747</v>
      </c>
      <c r="D17" s="12">
        <f t="shared" si="6"/>
        <v>44.126050015345747</v>
      </c>
      <c r="E17" s="12">
        <f t="shared" si="6"/>
        <v>44.245042248342827</v>
      </c>
      <c r="F17" s="12">
        <f t="shared" si="6"/>
        <v>44.245042248342827</v>
      </c>
      <c r="G17" s="71">
        <f t="shared" si="6"/>
        <v>44.126050015345747</v>
      </c>
      <c r="H17" s="71">
        <f t="shared" si="6"/>
        <v>44.126050015345747</v>
      </c>
      <c r="I17" s="71">
        <f t="shared" si="6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7">M15+10*LOG10(M42/1000000)</f>
        <v>45.09515014542631</v>
      </c>
      <c r="N17" s="12">
        <f t="shared" si="7"/>
        <v>45.09515014542631</v>
      </c>
      <c r="O17" s="12">
        <f t="shared" si="7"/>
        <v>45.09515014542631</v>
      </c>
      <c r="P17" s="12">
        <f t="shared" ref="P17:U17" si="8">P15+10*LOG10(P42/1000000)</f>
        <v>44.126050015345747</v>
      </c>
      <c r="Q17" s="12">
        <f t="shared" si="8"/>
        <v>44.126050015345747</v>
      </c>
      <c r="R17" s="12">
        <f t="shared" si="8"/>
        <v>44.126050015345747</v>
      </c>
      <c r="S17" s="8">
        <f t="shared" si="8"/>
        <v>44.126050015345747</v>
      </c>
      <c r="T17" s="8">
        <f t="shared" si="8"/>
        <v>44.126050015345747</v>
      </c>
      <c r="U17" s="8">
        <f t="shared" si="8"/>
        <v>44.126050015345747</v>
      </c>
      <c r="V17" s="8">
        <f t="shared" ref="V17:AA17" si="9">V15+10*LOG10(V42/1000000)</f>
        <v>44.245042248342827</v>
      </c>
      <c r="W17" s="8">
        <f t="shared" si="9"/>
        <v>44.245042248342827</v>
      </c>
      <c r="X17" s="8">
        <f t="shared" si="9"/>
        <v>44.245042248342827</v>
      </c>
      <c r="Y17" s="12">
        <f t="shared" si="9"/>
        <v>44.126050015345747</v>
      </c>
      <c r="Z17" s="12">
        <f t="shared" si="9"/>
        <v>44.126050015345747</v>
      </c>
      <c r="AA17" s="12">
        <f t="shared" si="9"/>
        <v>44.126050015345747</v>
      </c>
      <c r="AB17" s="12">
        <f>AB15+10*LOG10(AB42/1000000)</f>
        <v>40.024305364455252</v>
      </c>
      <c r="AC17" s="12">
        <f>AC15+10*LOG10(AC42/1000000)</f>
        <v>40.024305364455252</v>
      </c>
      <c r="AD17" s="12"/>
      <c r="AE17" s="12">
        <f t="shared" ref="AE17:AM17" si="10">AE15+10*LOG10(AE42/1000000)</f>
        <v>44.360860973840971</v>
      </c>
      <c r="AF17" s="12">
        <f t="shared" si="10"/>
        <v>44.360860973840971</v>
      </c>
      <c r="AG17" s="12">
        <f t="shared" si="10"/>
        <v>44.360860973840971</v>
      </c>
      <c r="AH17" s="12">
        <f t="shared" si="10"/>
        <v>44.126050015345747</v>
      </c>
      <c r="AI17" s="12">
        <f t="shared" si="10"/>
        <v>44.126050015345747</v>
      </c>
      <c r="AJ17" s="12">
        <f t="shared" si="10"/>
        <v>44.126050015345747</v>
      </c>
      <c r="AK17" s="8">
        <f t="shared" si="10"/>
        <v>44.245042248342827</v>
      </c>
      <c r="AL17" s="8">
        <f t="shared" si="10"/>
        <v>44.245042248342827</v>
      </c>
      <c r="AM17" s="8">
        <f t="shared" si="10"/>
        <v>44.245042248342827</v>
      </c>
      <c r="AN17" s="8">
        <f>AN15+10*LOG10(AN42/1000000)</f>
        <v>44.126050015345747</v>
      </c>
      <c r="AO17" s="8">
        <f>AO15+10*LOG10(AO42/1000000)</f>
        <v>44.126050015345747</v>
      </c>
      <c r="AP17" s="8">
        <f>AP15+10*LOG10(AP42/1000000)</f>
        <v>44.126050015345747</v>
      </c>
      <c r="AQ17" s="8">
        <f t="shared" ref="AQ17:AU17" si="11">AQ15+10*LOG10(AQ42/1000000)</f>
        <v>44.583624920952502</v>
      </c>
      <c r="AR17" s="8">
        <f t="shared" si="11"/>
        <v>44.583624920952502</v>
      </c>
      <c r="AS17" s="8">
        <f t="shared" si="11"/>
        <v>44.583624920952502</v>
      </c>
      <c r="AT17" s="45">
        <f t="shared" si="11"/>
        <v>44.126050015345747</v>
      </c>
      <c r="AU17" s="45">
        <f t="shared" si="11"/>
        <v>44.126050015345747</v>
      </c>
      <c r="AV17" s="8"/>
    </row>
    <row r="18" spans="1:48" ht="41.4">
      <c r="A18" s="14" t="s">
        <v>37</v>
      </c>
      <c r="B18" s="12">
        <f t="shared" ref="B18:I18" si="12">B19+10*LOG10(B12/B13)-B20</f>
        <v>12.771212547196624</v>
      </c>
      <c r="C18" s="12">
        <f t="shared" si="12"/>
        <v>12.771212547196624</v>
      </c>
      <c r="D18" s="12">
        <f t="shared" si="12"/>
        <v>12.771212547196624</v>
      </c>
      <c r="E18" s="12">
        <f t="shared" si="12"/>
        <v>9.8212125471966232</v>
      </c>
      <c r="F18" s="12">
        <f t="shared" si="12"/>
        <v>9.8212125471966232</v>
      </c>
      <c r="G18" s="71">
        <f t="shared" si="12"/>
        <v>12.771212547196624</v>
      </c>
      <c r="H18" s="71">
        <f t="shared" si="12"/>
        <v>12.771212547196624</v>
      </c>
      <c r="I18" s="71">
        <f t="shared" si="12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3">M19+10*LOG10(M12/M13)-M20</f>
        <v>10.121212547196624</v>
      </c>
      <c r="N18" s="12">
        <f t="shared" si="13"/>
        <v>10.121212547196624</v>
      </c>
      <c r="O18" s="12">
        <f t="shared" si="13"/>
        <v>10.121212547196624</v>
      </c>
      <c r="P18" s="12">
        <f t="shared" ref="P18:U18" si="14">P19+10*LOG10(P12/P13)-P20</f>
        <v>12.771212547196624</v>
      </c>
      <c r="Q18" s="12">
        <f t="shared" si="14"/>
        <v>12.771212547196624</v>
      </c>
      <c r="R18" s="12">
        <f t="shared" si="14"/>
        <v>12.771212547196624</v>
      </c>
      <c r="S18" s="8">
        <f t="shared" si="14"/>
        <v>12.771212547196624</v>
      </c>
      <c r="T18" s="8">
        <f t="shared" si="14"/>
        <v>12.771212547196624</v>
      </c>
      <c r="U18" s="8">
        <f t="shared" si="14"/>
        <v>12.771212547196624</v>
      </c>
      <c r="V18" s="8">
        <f t="shared" ref="V18:AA18" si="15">V19+10*LOG10(V12/V13)-V20</f>
        <v>12.771212547196624</v>
      </c>
      <c r="W18" s="8">
        <f t="shared" si="15"/>
        <v>12.771212547196624</v>
      </c>
      <c r="X18" s="8">
        <f t="shared" si="15"/>
        <v>12.771212547196624</v>
      </c>
      <c r="Y18" s="12">
        <f t="shared" si="15"/>
        <v>12.771212547196624</v>
      </c>
      <c r="Z18" s="12">
        <f t="shared" si="15"/>
        <v>12.771212547196624</v>
      </c>
      <c r="AA18" s="12">
        <f t="shared" si="15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6">AE19+10*LOG10(AE12/AE13)-AE20</f>
        <v>12.771212547196624</v>
      </c>
      <c r="AF18" s="12">
        <f t="shared" si="16"/>
        <v>12.771212547196624</v>
      </c>
      <c r="AG18" s="12">
        <f t="shared" si="16"/>
        <v>12.771212547196624</v>
      </c>
      <c r="AH18" s="12">
        <f t="shared" si="16"/>
        <v>12.771212547196624</v>
      </c>
      <c r="AI18" s="12">
        <f t="shared" si="16"/>
        <v>12.771212547196624</v>
      </c>
      <c r="AJ18" s="12">
        <f t="shared" si="16"/>
        <v>12.771212547196624</v>
      </c>
      <c r="AK18" s="8">
        <f t="shared" si="16"/>
        <v>12.771212547196624</v>
      </c>
      <c r="AL18" s="8">
        <f t="shared" si="16"/>
        <v>12.771212547196624</v>
      </c>
      <c r="AM18" s="8">
        <f t="shared" si="16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8">
        <f t="shared" ref="AQ18:AU18" si="17">AQ19+10*LOG10(AQ12/AQ13)-AQ20</f>
        <v>12.771212547196624</v>
      </c>
      <c r="AR18" s="8">
        <f t="shared" si="17"/>
        <v>12.771212547196624</v>
      </c>
      <c r="AS18" s="8">
        <f t="shared" si="17"/>
        <v>12.771212547196624</v>
      </c>
      <c r="AT18" s="45">
        <f t="shared" si="17"/>
        <v>8.4812125471966233</v>
      </c>
      <c r="AU18" s="45">
        <f t="shared" si="17"/>
        <v>8.4812125471966233</v>
      </c>
      <c r="AV18" s="8"/>
    </row>
    <row r="19" spans="1:48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45">
        <v>8</v>
      </c>
      <c r="AU19" s="45">
        <v>8</v>
      </c>
      <c r="AV19" s="8"/>
    </row>
    <row r="20" spans="1:48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3">
        <v>4.29</v>
      </c>
      <c r="AU20" s="83">
        <v>4.29</v>
      </c>
      <c r="AV20" s="82"/>
    </row>
    <row r="21" spans="1:48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8">10*LOG10(N13/N14)-8</f>
        <v>7.0514997831990609</v>
      </c>
      <c r="O21" s="16">
        <f t="shared" si="18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  <c r="AQ21" s="16">
        <v>7</v>
      </c>
      <c r="AR21" s="16">
        <v>7</v>
      </c>
      <c r="AS21" s="16">
        <v>7</v>
      </c>
      <c r="AT21" s="52">
        <v>12</v>
      </c>
      <c r="AU21" s="52">
        <v>12</v>
      </c>
      <c r="AV21" s="16"/>
    </row>
    <row r="22" spans="1:48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45">
        <v>0</v>
      </c>
      <c r="AU22" s="45">
        <v>0</v>
      </c>
      <c r="AV22" s="8"/>
    </row>
    <row r="23" spans="1:48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45">
        <v>0</v>
      </c>
      <c r="AU23" s="45">
        <v>0</v>
      </c>
      <c r="AV23" s="8"/>
    </row>
    <row r="24" spans="1:48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45">
        <v>3</v>
      </c>
      <c r="AU24" s="45">
        <v>3</v>
      </c>
      <c r="AV24" s="8"/>
    </row>
    <row r="25" spans="1:48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88" t="s">
        <v>16</v>
      </c>
      <c r="AU25" s="88" t="s">
        <v>16</v>
      </c>
      <c r="AV25" s="9"/>
    </row>
    <row r="26" spans="1:48">
      <c r="A26" s="7" t="s">
        <v>51</v>
      </c>
      <c r="B26" s="12">
        <f t="shared" ref="B26:I26" si="19">B17+B18+B21-B23-B24</f>
        <v>61.89726256254238</v>
      </c>
      <c r="C26" s="12">
        <f t="shared" si="19"/>
        <v>61.89726256254238</v>
      </c>
      <c r="D26" s="12">
        <f t="shared" si="19"/>
        <v>61.89726256254238</v>
      </c>
      <c r="E26" s="12">
        <f t="shared" si="19"/>
        <v>52.67625479553945</v>
      </c>
      <c r="F26" s="12">
        <f t="shared" si="19"/>
        <v>52.67625479553945</v>
      </c>
      <c r="G26" s="71">
        <f t="shared" si="19"/>
        <v>61.89726256254238</v>
      </c>
      <c r="H26" s="71">
        <f t="shared" si="19"/>
        <v>61.89726256254238</v>
      </c>
      <c r="I26" s="71">
        <f t="shared" si="19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20">M17+M18+M21-M23-M24</f>
        <v>59.267862475822</v>
      </c>
      <c r="N26" s="12">
        <f t="shared" si="20"/>
        <v>59.267862475822</v>
      </c>
      <c r="O26" s="12">
        <f t="shared" si="20"/>
        <v>59.267862475822</v>
      </c>
      <c r="P26" s="12">
        <f t="shared" ref="P26:U26" si="21">P17+P18+P21-P23-P24</f>
        <v>61.89726256254238</v>
      </c>
      <c r="Q26" s="12">
        <f t="shared" si="21"/>
        <v>61.89726256254238</v>
      </c>
      <c r="R26" s="12">
        <f t="shared" si="21"/>
        <v>61.89726256254238</v>
      </c>
      <c r="S26" s="8">
        <f t="shared" si="21"/>
        <v>63.89726256254238</v>
      </c>
      <c r="T26" s="8">
        <f t="shared" si="21"/>
        <v>63.89726256254238</v>
      </c>
      <c r="U26" s="8">
        <f t="shared" si="21"/>
        <v>63.89726256254238</v>
      </c>
      <c r="V26" s="8">
        <f t="shared" ref="V26:AA26" si="22">V17+V18+V21-V23-V24</f>
        <v>69.06625479553945</v>
      </c>
      <c r="W26" s="8">
        <f t="shared" si="22"/>
        <v>69.06625479553945</v>
      </c>
      <c r="X26" s="8">
        <f t="shared" si="22"/>
        <v>69.06625479553945</v>
      </c>
      <c r="Y26" s="12">
        <f t="shared" si="22"/>
        <v>61.89726256254238</v>
      </c>
      <c r="Z26" s="12">
        <f t="shared" si="22"/>
        <v>61.89726256254238</v>
      </c>
      <c r="AA26" s="12">
        <f t="shared" si="22"/>
        <v>61.89726256254238</v>
      </c>
      <c r="AB26" s="12">
        <f>AB17+AB18+AB21-AB23-AB24</f>
        <v>61.795517911651871</v>
      </c>
      <c r="AC26" s="12">
        <f>AC17+AC18+AC21-AC23-AC24</f>
        <v>61.795517911651871</v>
      </c>
      <c r="AD26" s="12"/>
      <c r="AE26" s="12">
        <f t="shared" ref="AE26:AM26" si="23">AE17+AE18+AE21-AE23-AE24</f>
        <v>62.132073521037597</v>
      </c>
      <c r="AF26" s="12">
        <f t="shared" si="23"/>
        <v>62.132073521037597</v>
      </c>
      <c r="AG26" s="12">
        <f t="shared" si="23"/>
        <v>62.132073521037597</v>
      </c>
      <c r="AH26" s="12">
        <f t="shared" si="23"/>
        <v>61.89726256254238</v>
      </c>
      <c r="AI26" s="12">
        <f t="shared" si="23"/>
        <v>61.89726256254238</v>
      </c>
      <c r="AJ26" s="12">
        <f t="shared" si="23"/>
        <v>61.89726256254238</v>
      </c>
      <c r="AK26" s="8">
        <f t="shared" si="23"/>
        <v>58.016254795539453</v>
      </c>
      <c r="AL26" s="8">
        <f t="shared" si="23"/>
        <v>58.016254795539453</v>
      </c>
      <c r="AM26" s="8">
        <f t="shared" si="23"/>
        <v>58.016254795539453</v>
      </c>
      <c r="AN26" s="8">
        <f>AN17+AN18+AN21-AN23-AN24</f>
        <v>59.897262562542373</v>
      </c>
      <c r="AO26" s="8">
        <f>AO17+AO18+AO21-AO23-AO24</f>
        <v>59.897262562542373</v>
      </c>
      <c r="AP26" s="8">
        <f>AP17+AP18+AP21-AP23-AP24</f>
        <v>59.897262562542373</v>
      </c>
      <c r="AQ26" s="8">
        <f t="shared" ref="AQ26:AU26" si="24">AQ17+AQ18+AQ21-AQ23-AQ24</f>
        <v>61.354837468149128</v>
      </c>
      <c r="AR26" s="8">
        <f t="shared" si="24"/>
        <v>61.354837468149128</v>
      </c>
      <c r="AS26" s="8">
        <f t="shared" si="24"/>
        <v>61.354837468149128</v>
      </c>
      <c r="AT26" s="45">
        <f t="shared" si="24"/>
        <v>61.607262562542374</v>
      </c>
      <c r="AU26" s="45">
        <f t="shared" si="24"/>
        <v>61.607262562542374</v>
      </c>
      <c r="AV26" s="8"/>
    </row>
    <row r="27" spans="1:48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51"/>
      <c r="AU27" s="51"/>
      <c r="AV27" s="13"/>
    </row>
    <row r="28" spans="1:48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  <c r="AQ28" s="8">
        <v>4</v>
      </c>
      <c r="AR28" s="8">
        <v>2</v>
      </c>
      <c r="AS28" s="8">
        <v>1</v>
      </c>
      <c r="AT28" s="45">
        <v>4</v>
      </c>
      <c r="AU28" s="45">
        <v>2</v>
      </c>
      <c r="AV28" s="8"/>
    </row>
    <row r="29" spans="1:48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  <c r="AQ29" s="8">
        <v>4</v>
      </c>
      <c r="AR29" s="8">
        <v>2</v>
      </c>
      <c r="AS29" s="8">
        <v>1</v>
      </c>
      <c r="AT29" s="45">
        <v>4</v>
      </c>
      <c r="AU29" s="45">
        <v>2</v>
      </c>
      <c r="AV29" s="8"/>
    </row>
    <row r="30" spans="1:48" ht="41.4">
      <c r="A30" s="7" t="s">
        <v>56</v>
      </c>
      <c r="B30" s="12">
        <f t="shared" ref="B30:I30" si="25">B31+10*LOG10(B28/B29)-B32</f>
        <v>0</v>
      </c>
      <c r="C30" s="12">
        <f t="shared" si="25"/>
        <v>-3</v>
      </c>
      <c r="D30" s="12">
        <f t="shared" si="25"/>
        <v>-3</v>
      </c>
      <c r="E30" s="12">
        <f t="shared" si="25"/>
        <v>0</v>
      </c>
      <c r="F30" s="12">
        <f t="shared" si="25"/>
        <v>-3</v>
      </c>
      <c r="G30" s="71">
        <f t="shared" si="25"/>
        <v>0</v>
      </c>
      <c r="H30" s="71">
        <f t="shared" si="25"/>
        <v>-3</v>
      </c>
      <c r="I30" s="71">
        <f t="shared" si="25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26">M31+10*LOG10(M28/M29)-M32</f>
        <v>0</v>
      </c>
      <c r="N30" s="12">
        <f t="shared" si="26"/>
        <v>-3</v>
      </c>
      <c r="O30" s="12">
        <f t="shared" si="26"/>
        <v>-3</v>
      </c>
      <c r="P30" s="12">
        <f t="shared" ref="P30:U30" si="27">P31+10*LOG10(P28/P29)-P32</f>
        <v>0</v>
      </c>
      <c r="Q30" s="12">
        <f t="shared" si="27"/>
        <v>-3</v>
      </c>
      <c r="R30" s="12">
        <f t="shared" si="27"/>
        <v>-3</v>
      </c>
      <c r="S30" s="8">
        <f t="shared" si="27"/>
        <v>0</v>
      </c>
      <c r="T30" s="8">
        <f t="shared" si="27"/>
        <v>-3</v>
      </c>
      <c r="U30" s="8">
        <f t="shared" si="27"/>
        <v>-3</v>
      </c>
      <c r="V30" s="8">
        <f t="shared" ref="V30:AA30" si="28">V31+10*LOG10(V28/V29)-V32</f>
        <v>0</v>
      </c>
      <c r="W30" s="8">
        <f t="shared" si="28"/>
        <v>-3</v>
      </c>
      <c r="X30" s="8">
        <f t="shared" si="28"/>
        <v>-3</v>
      </c>
      <c r="Y30" s="12">
        <f t="shared" si="28"/>
        <v>0</v>
      </c>
      <c r="Z30" s="12">
        <f t="shared" si="28"/>
        <v>-3</v>
      </c>
      <c r="AA30" s="12">
        <f t="shared" si="28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9">AE31+10*LOG10(AE28/AE29)-AE32</f>
        <v>0</v>
      </c>
      <c r="AF30" s="12">
        <f t="shared" si="29"/>
        <v>-3</v>
      </c>
      <c r="AG30" s="12">
        <f t="shared" si="29"/>
        <v>-3</v>
      </c>
      <c r="AH30" s="12">
        <f t="shared" si="29"/>
        <v>0</v>
      </c>
      <c r="AI30" s="12">
        <f t="shared" si="29"/>
        <v>-3</v>
      </c>
      <c r="AJ30" s="12">
        <f t="shared" si="29"/>
        <v>-3</v>
      </c>
      <c r="AK30" s="8">
        <f t="shared" si="29"/>
        <v>0</v>
      </c>
      <c r="AL30" s="8">
        <f t="shared" si="29"/>
        <v>-3</v>
      </c>
      <c r="AM30" s="8">
        <f t="shared" si="29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U30" si="30">AQ31+10*LOG10(AQ28/AQ29)-AQ32</f>
        <v>0</v>
      </c>
      <c r="AR30" s="8">
        <f t="shared" si="30"/>
        <v>-3</v>
      </c>
      <c r="AS30" s="8">
        <f t="shared" si="30"/>
        <v>-3</v>
      </c>
      <c r="AT30" s="45">
        <f t="shared" si="30"/>
        <v>0</v>
      </c>
      <c r="AU30" s="45">
        <f t="shared" si="30"/>
        <v>-3</v>
      </c>
      <c r="AV30" s="8"/>
    </row>
    <row r="31" spans="1:48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45">
        <v>0</v>
      </c>
      <c r="AU31" s="45">
        <v>-3</v>
      </c>
      <c r="AV31" s="8"/>
    </row>
    <row r="32" spans="1:48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45">
        <v>0</v>
      </c>
      <c r="AU32" s="45">
        <v>0</v>
      </c>
      <c r="AV32" s="8"/>
    </row>
    <row r="33" spans="1:48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45">
        <v>0</v>
      </c>
      <c r="AU33" s="45">
        <v>0</v>
      </c>
      <c r="AV33" s="8"/>
    </row>
    <row r="34" spans="1:48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45">
        <v>1</v>
      </c>
      <c r="AU34" s="45">
        <v>1</v>
      </c>
      <c r="AV34" s="8"/>
    </row>
    <row r="35" spans="1:48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45">
        <v>7</v>
      </c>
      <c r="AU35" s="45">
        <v>7</v>
      </c>
      <c r="AV35" s="8"/>
    </row>
    <row r="36" spans="1:48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45">
        <v>-174</v>
      </c>
      <c r="AU36" s="45">
        <v>-174</v>
      </c>
      <c r="AV36" s="8"/>
    </row>
    <row r="37" spans="1:48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45" t="s">
        <v>16</v>
      </c>
      <c r="AU37" s="45" t="s">
        <v>16</v>
      </c>
      <c r="AV37" s="8"/>
    </row>
    <row r="38" spans="1:48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  <c r="AN38" s="82">
        <v>-999</v>
      </c>
      <c r="AO38" s="82">
        <v>-999</v>
      </c>
      <c r="AP38" s="82">
        <v>-999</v>
      </c>
      <c r="AQ38" s="82">
        <v>-169.3</v>
      </c>
      <c r="AR38" s="82">
        <v>-169.3</v>
      </c>
      <c r="AS38" s="82">
        <v>-169.3</v>
      </c>
      <c r="AT38" s="83">
        <v>-999</v>
      </c>
      <c r="AU38" s="83">
        <v>-999</v>
      </c>
      <c r="AV38" s="82"/>
    </row>
    <row r="39" spans="1:48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88" t="s">
        <v>16</v>
      </c>
      <c r="AU39" s="88" t="s">
        <v>16</v>
      </c>
      <c r="AV39" s="9"/>
    </row>
    <row r="40" spans="1:48" ht="27.6">
      <c r="A40" s="7" t="s">
        <v>107</v>
      </c>
      <c r="B40" s="12">
        <f t="shared" ref="B40:I40" si="31">10*LOG10(10^((B35+B36)/10)+10^(B38/10))</f>
        <v>-167.00000000000003</v>
      </c>
      <c r="C40" s="12">
        <f t="shared" si="31"/>
        <v>-167.00000000000003</v>
      </c>
      <c r="D40" s="12">
        <f t="shared" si="31"/>
        <v>-167.00000000000003</v>
      </c>
      <c r="E40" s="12">
        <f t="shared" si="31"/>
        <v>-167.00000000000003</v>
      </c>
      <c r="F40" s="12">
        <f t="shared" si="31"/>
        <v>-167.00000000000003</v>
      </c>
      <c r="G40" s="71">
        <f t="shared" si="31"/>
        <v>-167.00000000000003</v>
      </c>
      <c r="H40" s="71">
        <f t="shared" si="31"/>
        <v>-167.00000000000003</v>
      </c>
      <c r="I40" s="71">
        <f t="shared" si="31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32">10*LOG10(10^((M35+M36)/10)+10^(M38/10))</f>
        <v>-164.98918835931039</v>
      </c>
      <c r="N40" s="12">
        <f t="shared" si="32"/>
        <v>-164.98918835931039</v>
      </c>
      <c r="O40" s="12">
        <f t="shared" si="32"/>
        <v>-164.98918835931039</v>
      </c>
      <c r="P40" s="12">
        <f t="shared" ref="P40:U40" si="33">10*LOG10(10^((P35+P36)/10)+10^(P38/10))</f>
        <v>-167.00000000000003</v>
      </c>
      <c r="Q40" s="12">
        <f t="shared" si="33"/>
        <v>-167.00000000000003</v>
      </c>
      <c r="R40" s="12">
        <f t="shared" si="33"/>
        <v>-167.00000000000003</v>
      </c>
      <c r="S40" s="8">
        <f t="shared" si="33"/>
        <v>-167.00000000000003</v>
      </c>
      <c r="T40" s="8">
        <f t="shared" si="33"/>
        <v>-167.00000000000003</v>
      </c>
      <c r="U40" s="8">
        <f t="shared" si="33"/>
        <v>-167.00000000000003</v>
      </c>
      <c r="V40" s="8">
        <f t="shared" ref="V40:AA40" si="34">10*LOG10(10^((V35+V36)/10)+10^(V38/10))</f>
        <v>-164.98918835931039</v>
      </c>
      <c r="W40" s="8">
        <f t="shared" si="34"/>
        <v>-164.98918835931039</v>
      </c>
      <c r="X40" s="8">
        <f t="shared" si="34"/>
        <v>-164.98918835931039</v>
      </c>
      <c r="Y40" s="12">
        <f t="shared" si="34"/>
        <v>-167.00000000000003</v>
      </c>
      <c r="Z40" s="12">
        <f t="shared" si="34"/>
        <v>-167.00000000000003</v>
      </c>
      <c r="AA40" s="12">
        <f t="shared" si="3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35">10*LOG10(10^((AE35+AE36)/10)+10^(AE38/10))</f>
        <v>-164.98918835931039</v>
      </c>
      <c r="AF40" s="12">
        <f t="shared" si="35"/>
        <v>-164.98918835931039</v>
      </c>
      <c r="AG40" s="12">
        <f t="shared" si="35"/>
        <v>-164.98918835931039</v>
      </c>
      <c r="AH40" s="12">
        <f t="shared" si="35"/>
        <v>-167.00000000000003</v>
      </c>
      <c r="AI40" s="12">
        <f t="shared" si="35"/>
        <v>-167.00000000000003</v>
      </c>
      <c r="AJ40" s="12">
        <f t="shared" si="35"/>
        <v>-167.00000000000003</v>
      </c>
      <c r="AK40" s="8">
        <f t="shared" si="35"/>
        <v>-164.98918835931039</v>
      </c>
      <c r="AL40" s="8">
        <f t="shared" si="35"/>
        <v>-164.98918835931039</v>
      </c>
      <c r="AM40" s="8">
        <f t="shared" si="35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U40" si="36">10*LOG10(10^((AQ35+AQ36)/10)+10^(AQ38/10))</f>
        <v>-164.98918835931039</v>
      </c>
      <c r="AR40" s="8">
        <f t="shared" si="36"/>
        <v>-164.98918835931039</v>
      </c>
      <c r="AS40" s="8">
        <f t="shared" si="36"/>
        <v>-164.98918835931039</v>
      </c>
      <c r="AT40" s="45">
        <f t="shared" si="36"/>
        <v>-167.00000000000003</v>
      </c>
      <c r="AU40" s="45">
        <f t="shared" si="36"/>
        <v>-167.00000000000003</v>
      </c>
      <c r="AV40" s="8"/>
    </row>
    <row r="41" spans="1:48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45" t="s">
        <v>16</v>
      </c>
      <c r="AU41" s="45" t="s">
        <v>16</v>
      </c>
      <c r="AV41" s="8"/>
    </row>
    <row r="42" spans="1:48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37">36*360*1000</f>
        <v>12960000</v>
      </c>
      <c r="I42" s="74">
        <f t="shared" si="37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38">45*360*1000</f>
        <v>16200000</v>
      </c>
      <c r="O42" s="16">
        <f t="shared" si="38"/>
        <v>16200000</v>
      </c>
      <c r="P42" s="16">
        <f>36*360*1000</f>
        <v>12960000</v>
      </c>
      <c r="Q42" s="16">
        <f t="shared" ref="Q42:R42" si="39">36*360*1000</f>
        <v>12960000</v>
      </c>
      <c r="R42" s="16">
        <f t="shared" si="39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40">37*360*1000</f>
        <v>13320000</v>
      </c>
      <c r="X42" s="16">
        <f t="shared" si="40"/>
        <v>13320000</v>
      </c>
      <c r="Y42" s="16">
        <f>36*360*1000</f>
        <v>12960000</v>
      </c>
      <c r="Z42" s="16">
        <f t="shared" ref="Z42:AA42" si="41">36*360*1000</f>
        <v>12960000</v>
      </c>
      <c r="AA42" s="16">
        <f t="shared" si="41"/>
        <v>12960000</v>
      </c>
      <c r="AB42" s="16">
        <f>14*360*1000</f>
        <v>5040000</v>
      </c>
      <c r="AC42" s="16">
        <f>14*360*1000</f>
        <v>5040000</v>
      </c>
      <c r="AD42" s="16"/>
      <c r="AE42" s="16">
        <f>38*360*1000</f>
        <v>13680000</v>
      </c>
      <c r="AF42" s="16">
        <f t="shared" ref="AF42:AG42" si="42">38*360*1000</f>
        <v>13680000</v>
      </c>
      <c r="AG42" s="16">
        <f t="shared" si="42"/>
        <v>13680000</v>
      </c>
      <c r="AH42" s="16">
        <f>36*360*1000</f>
        <v>12960000</v>
      </c>
      <c r="AI42" s="16">
        <f t="shared" ref="AI42:AJ42" si="43">36*360*1000</f>
        <v>12960000</v>
      </c>
      <c r="AJ42" s="16">
        <f t="shared" si="43"/>
        <v>12960000</v>
      </c>
      <c r="AK42" s="82">
        <f>37*360*1000</f>
        <v>13320000</v>
      </c>
      <c r="AL42" s="82">
        <f>37*360*1000</f>
        <v>13320000</v>
      </c>
      <c r="AM42" s="82">
        <f>37*360*1000</f>
        <v>13320000</v>
      </c>
      <c r="AN42" s="16">
        <f>36*360*1000</f>
        <v>12960000</v>
      </c>
      <c r="AO42" s="16">
        <f t="shared" ref="AO42:AP42" si="44">36*360*1000</f>
        <v>12960000</v>
      </c>
      <c r="AP42" s="16">
        <f t="shared" si="44"/>
        <v>12960000</v>
      </c>
      <c r="AQ42" s="16">
        <f>40*360*1000</f>
        <v>14400000</v>
      </c>
      <c r="AR42" s="16">
        <f>40*360*1000</f>
        <v>14400000</v>
      </c>
      <c r="AS42" s="16">
        <f>40*360*1000</f>
        <v>14400000</v>
      </c>
      <c r="AT42" s="52">
        <f>36*360*1000</f>
        <v>12960000</v>
      </c>
      <c r="AU42" s="52">
        <f t="shared" ref="AU42" si="45">36*360*1000</f>
        <v>12960000</v>
      </c>
      <c r="AV42" s="16"/>
    </row>
    <row r="43" spans="1:48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45" t="s">
        <v>16</v>
      </c>
      <c r="AU43" s="45" t="s">
        <v>16</v>
      </c>
      <c r="AV43" s="8"/>
    </row>
    <row r="44" spans="1:48">
      <c r="A44" s="7" t="s">
        <v>72</v>
      </c>
      <c r="B44" s="12">
        <f t="shared" ref="B44:I44" si="46">B40+10*LOG10(B42)</f>
        <v>-95.873949984654288</v>
      </c>
      <c r="C44" s="12">
        <f t="shared" si="46"/>
        <v>-95.873949984654288</v>
      </c>
      <c r="D44" s="12">
        <f t="shared" si="46"/>
        <v>-95.873949984654288</v>
      </c>
      <c r="E44" s="12">
        <f t="shared" si="46"/>
        <v>-95.754957751657201</v>
      </c>
      <c r="F44" s="12">
        <f t="shared" si="46"/>
        <v>-95.754957751657201</v>
      </c>
      <c r="G44" s="71">
        <f t="shared" si="46"/>
        <v>-95.873949984654288</v>
      </c>
      <c r="H44" s="71">
        <f t="shared" si="46"/>
        <v>-95.873949984654288</v>
      </c>
      <c r="I44" s="71">
        <f t="shared" si="46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47">M40+10*LOG10(M42)</f>
        <v>-92.894038213884087</v>
      </c>
      <c r="N44" s="12">
        <f t="shared" si="47"/>
        <v>-92.894038213884087</v>
      </c>
      <c r="O44" s="12">
        <f t="shared" si="47"/>
        <v>-92.894038213884087</v>
      </c>
      <c r="P44" s="12">
        <f t="shared" ref="P44:U44" si="48">P40+10*LOG10(P42)</f>
        <v>-95.873949984654288</v>
      </c>
      <c r="Q44" s="12">
        <f t="shared" si="48"/>
        <v>-95.873949984654288</v>
      </c>
      <c r="R44" s="12">
        <f t="shared" si="48"/>
        <v>-95.873949984654288</v>
      </c>
      <c r="S44" s="8">
        <f t="shared" si="48"/>
        <v>-95.873949984654288</v>
      </c>
      <c r="T44" s="8">
        <f t="shared" si="48"/>
        <v>-95.873949984654288</v>
      </c>
      <c r="U44" s="8">
        <f t="shared" si="48"/>
        <v>-95.873949984654288</v>
      </c>
      <c r="V44" s="8">
        <f t="shared" ref="V44:AA44" si="49">V40+10*LOG10(V42)</f>
        <v>-93.744146110967563</v>
      </c>
      <c r="W44" s="8">
        <f t="shared" si="49"/>
        <v>-93.744146110967563</v>
      </c>
      <c r="X44" s="8">
        <f t="shared" si="49"/>
        <v>-93.744146110967563</v>
      </c>
      <c r="Y44" s="12">
        <f t="shared" si="49"/>
        <v>-95.873949984654288</v>
      </c>
      <c r="Z44" s="12">
        <f t="shared" si="49"/>
        <v>-95.873949984654288</v>
      </c>
      <c r="AA44" s="12">
        <f t="shared" si="49"/>
        <v>-95.873949984654288</v>
      </c>
      <c r="AB44" s="12">
        <f>AB40+10*LOG10(AB42)</f>
        <v>-97.964882994855145</v>
      </c>
      <c r="AC44" s="12">
        <f>AC40+10*LOG10(AC42)</f>
        <v>-97.964882994855145</v>
      </c>
      <c r="AD44" s="12"/>
      <c r="AE44" s="12">
        <f t="shared" ref="AE44:AM44" si="50">AE40+10*LOG10(AE42)</f>
        <v>-93.628327385469419</v>
      </c>
      <c r="AF44" s="12">
        <f t="shared" si="50"/>
        <v>-93.628327385469419</v>
      </c>
      <c r="AG44" s="12">
        <f t="shared" si="50"/>
        <v>-93.628327385469419</v>
      </c>
      <c r="AH44" s="12">
        <f t="shared" si="50"/>
        <v>-95.873949984654288</v>
      </c>
      <c r="AI44" s="12">
        <f t="shared" si="50"/>
        <v>-95.873949984654288</v>
      </c>
      <c r="AJ44" s="12">
        <f t="shared" si="50"/>
        <v>-95.873949984654288</v>
      </c>
      <c r="AK44" s="8">
        <f t="shared" si="50"/>
        <v>-93.744146110967563</v>
      </c>
      <c r="AL44" s="8">
        <f t="shared" si="50"/>
        <v>-93.744146110967563</v>
      </c>
      <c r="AM44" s="8">
        <f t="shared" si="50"/>
        <v>-93.744146110967563</v>
      </c>
      <c r="AN44" s="8">
        <f>AN40+10*LOG10(AN42)</f>
        <v>-95.873949984654288</v>
      </c>
      <c r="AO44" s="8">
        <f>AO40+10*LOG10(AO42)</f>
        <v>-95.873949984654288</v>
      </c>
      <c r="AP44" s="8">
        <f>AP40+10*LOG10(AP42)</f>
        <v>-95.873949984654288</v>
      </c>
      <c r="AQ44" s="8">
        <f t="shared" ref="AQ44:AU44" si="51">AQ40+10*LOG10(AQ42)</f>
        <v>-93.405563438357902</v>
      </c>
      <c r="AR44" s="8">
        <f t="shared" si="51"/>
        <v>-93.405563438357902</v>
      </c>
      <c r="AS44" s="8">
        <f t="shared" si="51"/>
        <v>-93.405563438357902</v>
      </c>
      <c r="AT44" s="45">
        <f t="shared" si="51"/>
        <v>-95.873949984654288</v>
      </c>
      <c r="AU44" s="45">
        <f t="shared" si="51"/>
        <v>-95.873949984654288</v>
      </c>
      <c r="AV44" s="8"/>
    </row>
    <row r="45" spans="1:48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45" t="s">
        <v>16</v>
      </c>
      <c r="AU45" s="45" t="s">
        <v>16</v>
      </c>
      <c r="AV45" s="8"/>
    </row>
    <row r="46" spans="1:48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  <c r="AB46" s="16">
        <v>-6.6</v>
      </c>
      <c r="AC46" s="16">
        <v>-3.6</v>
      </c>
      <c r="AD46" s="16"/>
      <c r="AE46" s="16">
        <v>-8.1300000000000008</v>
      </c>
      <c r="AF46" s="16">
        <v>-4.82</v>
      </c>
      <c r="AG46" s="16">
        <v>-0.94</v>
      </c>
      <c r="AH46" s="16">
        <v>-9</v>
      </c>
      <c r="AI46" s="16">
        <v>-6</v>
      </c>
      <c r="AJ46" s="16">
        <v>-3</v>
      </c>
      <c r="AK46" s="82">
        <v>-8.1999999999999993</v>
      </c>
      <c r="AL46" s="82">
        <v>-4.5999999999999996</v>
      </c>
      <c r="AM46" s="82">
        <v>-0.3</v>
      </c>
      <c r="AN46" s="16">
        <v>-6.6</v>
      </c>
      <c r="AO46" s="16">
        <v>-3.1</v>
      </c>
      <c r="AP46" s="16">
        <v>0.9</v>
      </c>
      <c r="AQ46" s="16">
        <v>-8</v>
      </c>
      <c r="AR46" s="16">
        <v>-5.5</v>
      </c>
      <c r="AS46" s="16">
        <v>-2.2000000000000002</v>
      </c>
      <c r="AT46" s="52">
        <v>-9.6</v>
      </c>
      <c r="AU46" s="52">
        <v>-6.5</v>
      </c>
      <c r="AV46" s="16"/>
    </row>
    <row r="47" spans="1:48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45">
        <v>2</v>
      </c>
      <c r="AU47" s="45">
        <v>2</v>
      </c>
      <c r="AV47" s="8"/>
    </row>
    <row r="48" spans="1:48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45" t="s">
        <v>16</v>
      </c>
      <c r="AU48" s="45" t="s">
        <v>16</v>
      </c>
      <c r="AV48" s="8"/>
    </row>
    <row r="49" spans="1:48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45">
        <v>0</v>
      </c>
      <c r="AU49" s="45">
        <v>0</v>
      </c>
      <c r="AV49" s="8"/>
    </row>
    <row r="50" spans="1:48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88" t="s">
        <v>16</v>
      </c>
      <c r="AU50" s="88" t="s">
        <v>16</v>
      </c>
      <c r="AV50" s="9"/>
    </row>
    <row r="51" spans="1:48" ht="27.6">
      <c r="A51" s="7" t="s">
        <v>82</v>
      </c>
      <c r="B51" s="12">
        <f t="shared" ref="B51:I51" si="52">B44+B46+B47-B49</f>
        <v>-101.47394998465428</v>
      </c>
      <c r="C51" s="12">
        <f t="shared" si="52"/>
        <v>-98.773949984654294</v>
      </c>
      <c r="D51" s="12">
        <f t="shared" si="52"/>
        <v>-95.273949984654294</v>
      </c>
      <c r="E51" s="12">
        <f t="shared" si="52"/>
        <v>-106.29495775165719</v>
      </c>
      <c r="F51" s="12">
        <f t="shared" si="52"/>
        <v>-102.73495775165721</v>
      </c>
      <c r="G51" s="71">
        <f t="shared" si="52"/>
        <v>-104.34394998465429</v>
      </c>
      <c r="H51" s="71">
        <f t="shared" si="52"/>
        <v>-101.05394998465428</v>
      </c>
      <c r="I51" s="71">
        <f t="shared" si="52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53">M44+M46+M47-M49</f>
        <v>-100.37403821388409</v>
      </c>
      <c r="N51" s="12">
        <f t="shared" si="53"/>
        <v>-96.164038213884083</v>
      </c>
      <c r="O51" s="12">
        <f t="shared" si="53"/>
        <v>-91.504038213884087</v>
      </c>
      <c r="P51" s="12">
        <f t="shared" ref="P51:U51" si="54">P44+P46+P47-P49</f>
        <v>-104.37394998465429</v>
      </c>
      <c r="Q51" s="12">
        <f t="shared" si="54"/>
        <v>-100.47394998465428</v>
      </c>
      <c r="R51" s="12">
        <f t="shared" si="54"/>
        <v>-96.473949984654283</v>
      </c>
      <c r="S51" s="8">
        <f t="shared" si="54"/>
        <v>-100.27394998465429</v>
      </c>
      <c r="T51" s="8">
        <f t="shared" si="54"/>
        <v>-98.173949984654286</v>
      </c>
      <c r="U51" s="8">
        <f t="shared" si="54"/>
        <v>-94.973949984654283</v>
      </c>
      <c r="V51" s="8">
        <f t="shared" ref="V51:AA51" si="55">V44+V46+V47-V49</f>
        <v>-97.744146110967563</v>
      </c>
      <c r="W51" s="8">
        <f t="shared" si="55"/>
        <v>-95.244146110967563</v>
      </c>
      <c r="X51" s="8">
        <f t="shared" si="55"/>
        <v>-91.444146110967566</v>
      </c>
      <c r="Y51" s="12">
        <f t="shared" si="55"/>
        <v>-101.6939499846543</v>
      </c>
      <c r="Z51" s="12">
        <f t="shared" si="55"/>
        <v>-98.103949984654292</v>
      </c>
      <c r="AA51" s="12">
        <f t="shared" si="55"/>
        <v>-93.983949984654288</v>
      </c>
      <c r="AB51" s="12">
        <f>AB44+AB46+AB47-AB49</f>
        <v>-102.56488299485514</v>
      </c>
      <c r="AC51" s="12">
        <f>AC44+AC46+AC47-AC49</f>
        <v>-99.564882994855139</v>
      </c>
      <c r="AD51" s="12"/>
      <c r="AE51" s="12">
        <f t="shared" ref="AE51:AM51" si="56">AE44+AE46+AE47-AE49</f>
        <v>-99.758327385469414</v>
      </c>
      <c r="AF51" s="12">
        <f t="shared" si="56"/>
        <v>-96.448327385469412</v>
      </c>
      <c r="AG51" s="12">
        <f t="shared" si="56"/>
        <v>-92.568327385469416</v>
      </c>
      <c r="AH51" s="12">
        <f t="shared" si="56"/>
        <v>-102.87394998465429</v>
      </c>
      <c r="AI51" s="12">
        <f t="shared" si="56"/>
        <v>-99.873949984654288</v>
      </c>
      <c r="AJ51" s="12">
        <f t="shared" si="56"/>
        <v>-96.873949984654288</v>
      </c>
      <c r="AK51" s="8">
        <f t="shared" si="56"/>
        <v>-99.944146110967566</v>
      </c>
      <c r="AL51" s="8">
        <f t="shared" si="56"/>
        <v>-96.344146110967557</v>
      </c>
      <c r="AM51" s="8">
        <f t="shared" si="56"/>
        <v>-92.04414611096756</v>
      </c>
      <c r="AN51" s="8">
        <f>AN44+AN46+AN47-AN49</f>
        <v>-100.47394998465428</v>
      </c>
      <c r="AO51" s="8">
        <f>AO44+AO46+AO47-AO49</f>
        <v>-96.973949984654283</v>
      </c>
      <c r="AP51" s="8">
        <f>AP44+AP46+AP47-AP49</f>
        <v>-92.973949984654283</v>
      </c>
      <c r="AQ51" s="8">
        <f t="shared" ref="AQ51:AU51" si="57">AQ44+AQ46+AQ47-AQ49</f>
        <v>-99.405563438357902</v>
      </c>
      <c r="AR51" s="8">
        <f t="shared" si="57"/>
        <v>-96.905563438357902</v>
      </c>
      <c r="AS51" s="8">
        <f t="shared" si="57"/>
        <v>-93.605563438357905</v>
      </c>
      <c r="AT51" s="45">
        <f t="shared" si="57"/>
        <v>-103.47394998465428</v>
      </c>
      <c r="AU51" s="45">
        <f t="shared" si="57"/>
        <v>-100.37394998465429</v>
      </c>
      <c r="AV51" s="8"/>
    </row>
    <row r="52" spans="1:48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  <c r="AN52" s="85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  <c r="AT52" s="89" t="s">
        <v>16</v>
      </c>
      <c r="AU52" s="89" t="s">
        <v>16</v>
      </c>
      <c r="AV52" s="85"/>
    </row>
    <row r="53" spans="1:48" ht="27.6">
      <c r="A53" s="29" t="s">
        <v>85</v>
      </c>
      <c r="B53" s="22">
        <f t="shared" ref="B53:G53" si="58">B26+B30+B33-B34-B51</f>
        <v>162.37121254719665</v>
      </c>
      <c r="C53" s="22">
        <f t="shared" si="58"/>
        <v>156.67121254719666</v>
      </c>
      <c r="D53" s="22">
        <f t="shared" si="58"/>
        <v>153.17121254719666</v>
      </c>
      <c r="E53" s="22">
        <f t="shared" si="58"/>
        <v>157.97121254719664</v>
      </c>
      <c r="F53" s="22">
        <f t="shared" si="58"/>
        <v>151.41121254719667</v>
      </c>
      <c r="G53" s="76">
        <f t="shared" si="58"/>
        <v>165.24121254719665</v>
      </c>
      <c r="H53" s="76">
        <f t="shared" ref="H53:I53" si="59">H26+H30+H33-H34-H51</f>
        <v>158.95121254719666</v>
      </c>
      <c r="I53" s="76">
        <f t="shared" si="59"/>
        <v>155.05121254719666</v>
      </c>
      <c r="J53" s="22">
        <f>J26+J30+J33-J34-J51</f>
        <v>163.77121254719668</v>
      </c>
      <c r="K53" s="22">
        <f t="shared" ref="K53:O53" si="60">K26+K30+K33-K34-K51</f>
        <v>157.37121254719665</v>
      </c>
      <c r="L53" s="22">
        <f t="shared" si="60"/>
        <v>153.97121254719667</v>
      </c>
      <c r="M53" s="22">
        <f t="shared" si="60"/>
        <v>158.64190068970609</v>
      </c>
      <c r="N53" s="22">
        <f t="shared" si="60"/>
        <v>151.43190068970608</v>
      </c>
      <c r="O53" s="22">
        <f t="shared" si="60"/>
        <v>146.77190068970609</v>
      </c>
      <c r="P53" s="22">
        <f>P26+P30+P33-P34-P51</f>
        <v>165.27121254719668</v>
      </c>
      <c r="Q53" s="22">
        <f t="shared" ref="Q53:R53" si="61">Q26+Q30+Q33-Q34-Q51</f>
        <v>158.37121254719665</v>
      </c>
      <c r="R53" s="22">
        <f t="shared" si="61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62">W26+W30+W33-W34-W51</f>
        <v>160.31040090650703</v>
      </c>
      <c r="X53" s="22">
        <f t="shared" si="62"/>
        <v>156.51040090650702</v>
      </c>
      <c r="Y53" s="22">
        <f>Y26+Y30+Y33-Y34-Y51</f>
        <v>162.59121254719668</v>
      </c>
      <c r="Z53" s="22">
        <f t="shared" ref="Z53:AA53" si="63">Z26+Z30+Z33-Z34-Z51</f>
        <v>156.00121254719667</v>
      </c>
      <c r="AA53" s="22">
        <f t="shared" si="63"/>
        <v>151.88121254719667</v>
      </c>
      <c r="AB53" s="22">
        <f>AB26+AB30+AB33-AB34-AB51</f>
        <v>163.36040090650701</v>
      </c>
      <c r="AC53" s="22">
        <f t="shared" ref="AC53" si="64">AC26+AC30+AC33-AC34-AC51</f>
        <v>157.36040090650701</v>
      </c>
      <c r="AD53" s="22"/>
      <c r="AE53" s="22">
        <f>AE26+AE30+AE33-AE34-AE51</f>
        <v>160.89040090650701</v>
      </c>
      <c r="AF53" s="22">
        <f t="shared" ref="AF53:AG53" si="65">AF26+AF30+AF33-AF34-AF51</f>
        <v>154.58040090650701</v>
      </c>
      <c r="AG53" s="22">
        <f t="shared" si="65"/>
        <v>150.70040090650701</v>
      </c>
      <c r="AH53" s="22">
        <f>AH26+AH30+AH33-AH34-AH51</f>
        <v>163.77121254719668</v>
      </c>
      <c r="AI53" s="22">
        <f t="shared" ref="AI53:AJ53" si="66">AI26+AI30+AI33-AI34-AI51</f>
        <v>157.77121254719668</v>
      </c>
      <c r="AJ53" s="22">
        <f t="shared" si="66"/>
        <v>154.77121254719668</v>
      </c>
      <c r="AK53" s="22">
        <f>AK26+AK30+AK33-AK34-AK51</f>
        <v>156.960400906507</v>
      </c>
      <c r="AL53" s="22">
        <f t="shared" ref="AL53:AM53" si="67">AL26+AL30+AL33-AL34-AL51</f>
        <v>150.36040090650701</v>
      </c>
      <c r="AM53" s="22">
        <f t="shared" si="67"/>
        <v>146.06040090650703</v>
      </c>
      <c r="AN53" s="22">
        <f>AN26+AN30+AN33-AN34-AN51</f>
        <v>159.37121254719665</v>
      </c>
      <c r="AO53" s="22">
        <f t="shared" ref="AO53:AP53" si="68">AO26+AO30+AO33-AO34-AO51</f>
        <v>152.87121254719665</v>
      </c>
      <c r="AP53" s="22">
        <f t="shared" si="68"/>
        <v>148.87121254719665</v>
      </c>
      <c r="AQ53" s="22">
        <f>AQ26+AQ30+AQ33-AQ34-AQ51</f>
        <v>159.76040090650702</v>
      </c>
      <c r="AR53" s="22">
        <f t="shared" ref="AR53:AS53" si="69">AR26+AR30+AR33-AR34-AR51</f>
        <v>154.26040090650702</v>
      </c>
      <c r="AS53" s="22">
        <f t="shared" si="69"/>
        <v>150.96040090650703</v>
      </c>
      <c r="AT53" s="58">
        <f>AT26+AT30+AT33-AT34-AT51</f>
        <v>164.08121254719666</v>
      </c>
      <c r="AU53" s="58">
        <f t="shared" ref="AU53" si="70">AU26+AU30+AU33-AU34-AU51</f>
        <v>157.98121254719666</v>
      </c>
      <c r="AV53" s="22"/>
    </row>
    <row r="54" spans="1:48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51"/>
      <c r="AU54" s="51"/>
      <c r="AV54" s="13"/>
    </row>
    <row r="55" spans="1:48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3">
        <v>7</v>
      </c>
      <c r="AU55" s="83">
        <v>7</v>
      </c>
      <c r="AV55" s="82"/>
    </row>
    <row r="56" spans="1:48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88" t="s">
        <v>16</v>
      </c>
      <c r="AU56" s="88" t="s">
        <v>16</v>
      </c>
      <c r="AV56" s="9"/>
    </row>
    <row r="57" spans="1:48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  <c r="AT57" s="83">
        <v>4.4800000000000004</v>
      </c>
      <c r="AU57" s="83">
        <v>4.4800000000000004</v>
      </c>
      <c r="AV57" s="82"/>
    </row>
    <row r="58" spans="1:48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3">
        <v>0</v>
      </c>
      <c r="AU58" s="83">
        <v>0</v>
      </c>
      <c r="AV58" s="82"/>
    </row>
    <row r="59" spans="1:48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3">
        <v>26.25</v>
      </c>
      <c r="AU59" s="83">
        <v>26.25</v>
      </c>
      <c r="AV59" s="82"/>
    </row>
    <row r="60" spans="1:48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3">
        <v>0</v>
      </c>
      <c r="AU60" s="83">
        <v>0</v>
      </c>
      <c r="AV60" s="82"/>
    </row>
    <row r="61" spans="1:48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  <c r="AN61" s="85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  <c r="AT61" s="89" t="s">
        <v>16</v>
      </c>
      <c r="AU61" s="89" t="s">
        <v>16</v>
      </c>
      <c r="AV61" s="85"/>
    </row>
    <row r="62" spans="1:48" ht="27.6">
      <c r="A62" s="29" t="s">
        <v>109</v>
      </c>
      <c r="B62" s="22">
        <f t="shared" ref="B62:G62" si="71">B53-B57+B58-B59+B60</f>
        <v>131.64121254719666</v>
      </c>
      <c r="C62" s="22">
        <f t="shared" si="71"/>
        <v>125.94121254719667</v>
      </c>
      <c r="D62" s="22">
        <f t="shared" si="71"/>
        <v>122.44121254719667</v>
      </c>
      <c r="E62" s="22">
        <f t="shared" si="71"/>
        <v>127.24121254719665</v>
      </c>
      <c r="F62" s="22">
        <f t="shared" si="71"/>
        <v>120.68121254719668</v>
      </c>
      <c r="G62" s="76">
        <f t="shared" si="71"/>
        <v>134.51121254719666</v>
      </c>
      <c r="H62" s="76">
        <f t="shared" ref="H62:I62" si="72">H53-H57+H58-H59+H60</f>
        <v>128.22121254719667</v>
      </c>
      <c r="I62" s="76">
        <f t="shared" si="72"/>
        <v>124.32121254719667</v>
      </c>
      <c r="J62" s="22">
        <f>J53-J57+J58-J59+J60</f>
        <v>133.04121254719669</v>
      </c>
      <c r="K62" s="22">
        <f t="shared" ref="K62:O62" si="73">K53-K57+K58-K59+K60</f>
        <v>126.64121254719666</v>
      </c>
      <c r="L62" s="22">
        <f t="shared" si="73"/>
        <v>123.24121254719668</v>
      </c>
      <c r="M62" s="22">
        <f t="shared" si="73"/>
        <v>127.9119006897061</v>
      </c>
      <c r="N62" s="22">
        <f t="shared" si="73"/>
        <v>120.70190068970609</v>
      </c>
      <c r="O62" s="22">
        <f t="shared" si="73"/>
        <v>116.0419006897061</v>
      </c>
      <c r="P62" s="22">
        <f>P53-P57+P58-P59+P60</f>
        <v>134.54121254719669</v>
      </c>
      <c r="Q62" s="22">
        <f t="shared" ref="Q62:R62" si="74">Q53-Q57+Q58-Q59+Q60</f>
        <v>127.64121254719666</v>
      </c>
      <c r="R62" s="22">
        <f t="shared" si="74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75">W53-W57+W58-W59+W60</f>
        <v>129.58040090650704</v>
      </c>
      <c r="X62" s="22">
        <f t="shared" si="75"/>
        <v>125.78040090650703</v>
      </c>
      <c r="Y62" s="22">
        <f>Y53-Y57+Y58-Y59+Y60</f>
        <v>131.86121254719669</v>
      </c>
      <c r="Z62" s="22">
        <f t="shared" ref="Z62:AA62" si="76">Z53-Z57+Z58-Z59+Z60</f>
        <v>125.27121254719668</v>
      </c>
      <c r="AA62" s="22">
        <f t="shared" si="76"/>
        <v>121.15121254719668</v>
      </c>
      <c r="AB62" s="22">
        <f>AB53-AB57+AB58-AB59+AB60</f>
        <v>132.63040090650702</v>
      </c>
      <c r="AC62" s="22">
        <f t="shared" ref="AC62" si="77">AC53-AC57+AC58-AC59+AC60</f>
        <v>126.63040090650702</v>
      </c>
      <c r="AD62" s="22"/>
      <c r="AE62" s="22">
        <f>AE53-AE57+AE58-AE59+AE60</f>
        <v>133.16040090650702</v>
      </c>
      <c r="AF62" s="22">
        <f t="shared" ref="AF62:AG62" si="78">AF53-AF57+AF58-AF59+AF60</f>
        <v>126.85040090650702</v>
      </c>
      <c r="AG62" s="22">
        <f t="shared" si="78"/>
        <v>122.97040090650702</v>
      </c>
      <c r="AH62" s="22">
        <f>AH53-AH57+AH58-AH59+AH60</f>
        <v>133.04121254719669</v>
      </c>
      <c r="AI62" s="22">
        <f t="shared" ref="AI62:AJ62" si="79">AI53-AI57+AI58-AI59+AI60</f>
        <v>127.04121254719669</v>
      </c>
      <c r="AJ62" s="22">
        <f t="shared" si="79"/>
        <v>124.04121254719669</v>
      </c>
      <c r="AK62" s="22">
        <f>AK53-AK57+AK58-AK59+AK60</f>
        <v>126.23040090650701</v>
      </c>
      <c r="AL62" s="22">
        <f t="shared" ref="AL62:AM62" si="80">AL53-AL57+AL58-AL59+AL60</f>
        <v>119.63040090650702</v>
      </c>
      <c r="AM62" s="22">
        <f t="shared" si="80"/>
        <v>115.33040090650704</v>
      </c>
      <c r="AN62" s="22">
        <f>AN53-AN57+AN58-AN59+AN60</f>
        <v>128.64121254719666</v>
      </c>
      <c r="AO62" s="22">
        <f t="shared" ref="AO62:AP62" si="81">AO53-AO57+AO58-AO59+AO60</f>
        <v>122.14121254719666</v>
      </c>
      <c r="AP62" s="22">
        <f t="shared" si="81"/>
        <v>118.14121254719666</v>
      </c>
      <c r="AQ62" s="22">
        <f>AQ53-AQ57+AQ58-AQ59+AQ60</f>
        <v>129.03040090650703</v>
      </c>
      <c r="AR62" s="22">
        <f t="shared" ref="AR62:AS62" si="82">AR53-AR57+AR58-AR59+AR60</f>
        <v>123.53040090650703</v>
      </c>
      <c r="AS62" s="22">
        <f t="shared" si="82"/>
        <v>120.23040090650704</v>
      </c>
      <c r="AT62" s="58">
        <f>AT53-AT57+AT58-AT59+AT60</f>
        <v>133.35121254719667</v>
      </c>
      <c r="AU62" s="58">
        <f t="shared" ref="AU62" si="83">AU53-AU57+AU58-AU59+AU60</f>
        <v>127.25121254719667</v>
      </c>
      <c r="AV62" s="22"/>
    </row>
    <row r="63" spans="1:48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  <c r="AU63" s="90"/>
      <c r="AV63" s="2"/>
    </row>
    <row r="64" spans="1:48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  <c r="AN64" s="85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  <c r="AT64" s="89" t="s">
        <v>16</v>
      </c>
      <c r="AU64" s="89" t="s">
        <v>16</v>
      </c>
      <c r="AV64" s="85"/>
    </row>
    <row r="65" spans="1:48">
      <c r="A65" s="29" t="s">
        <v>98</v>
      </c>
      <c r="B65" s="22">
        <f t="shared" ref="B65:I65" si="84">B17-B23-B51+B21+B33</f>
        <v>153.60000000000002</v>
      </c>
      <c r="C65" s="22">
        <f t="shared" si="84"/>
        <v>150.90000000000003</v>
      </c>
      <c r="D65" s="22">
        <f t="shared" si="84"/>
        <v>147.40000000000003</v>
      </c>
      <c r="E65" s="22">
        <f t="shared" si="84"/>
        <v>152.15000000000003</v>
      </c>
      <c r="F65" s="22">
        <f t="shared" si="84"/>
        <v>148.59000000000003</v>
      </c>
      <c r="G65" s="76">
        <f t="shared" si="84"/>
        <v>156.47000000000003</v>
      </c>
      <c r="H65" s="76">
        <f t="shared" si="84"/>
        <v>153.18000000000004</v>
      </c>
      <c r="I65" s="76">
        <f t="shared" si="84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85">M17-M23-M51+M21+M33</f>
        <v>152.52068814250947</v>
      </c>
      <c r="N65" s="22">
        <f t="shared" si="85"/>
        <v>148.31068814250946</v>
      </c>
      <c r="O65" s="22">
        <f t="shared" si="85"/>
        <v>143.65068814250947</v>
      </c>
      <c r="P65" s="22">
        <f t="shared" ref="P65:U65" si="86">P17-P23-P51+P21+P33</f>
        <v>156.50000000000003</v>
      </c>
      <c r="Q65" s="22">
        <f t="shared" si="86"/>
        <v>152.60000000000002</v>
      </c>
      <c r="R65" s="22">
        <f t="shared" si="86"/>
        <v>148.60000000000002</v>
      </c>
      <c r="S65" s="22">
        <f t="shared" si="86"/>
        <v>154.40000000000003</v>
      </c>
      <c r="T65" s="22">
        <f t="shared" si="86"/>
        <v>152.30000000000004</v>
      </c>
      <c r="U65" s="22">
        <f t="shared" si="86"/>
        <v>149.10000000000002</v>
      </c>
      <c r="V65" s="22">
        <f t="shared" ref="V65:AA65" si="87">V17-V23-V51+V21+V33</f>
        <v>157.0391883593104</v>
      </c>
      <c r="W65" s="22">
        <f t="shared" si="87"/>
        <v>154.5391883593104</v>
      </c>
      <c r="X65" s="22">
        <f t="shared" si="87"/>
        <v>150.73918835931039</v>
      </c>
      <c r="Y65" s="22">
        <f t="shared" si="87"/>
        <v>153.82000000000005</v>
      </c>
      <c r="Z65" s="22">
        <f t="shared" si="87"/>
        <v>150.23000000000005</v>
      </c>
      <c r="AA65" s="22">
        <f t="shared" si="87"/>
        <v>146.11000000000004</v>
      </c>
      <c r="AB65" s="22">
        <f>AB17-AB23-AB51+AB21+AB33</f>
        <v>154.58918835931038</v>
      </c>
      <c r="AC65" s="22">
        <f>AC17-AC23-AC51+AC21+AC33</f>
        <v>151.58918835931038</v>
      </c>
      <c r="AD65" s="22"/>
      <c r="AE65" s="22">
        <f t="shared" ref="AE65:AM65" si="88">AE17-AE23-AE51+AE21+AE33</f>
        <v>152.11918835931039</v>
      </c>
      <c r="AF65" s="22">
        <f t="shared" si="88"/>
        <v>148.80918835931038</v>
      </c>
      <c r="AG65" s="22">
        <f t="shared" si="88"/>
        <v>144.92918835931039</v>
      </c>
      <c r="AH65" s="22">
        <f t="shared" si="88"/>
        <v>155.00000000000003</v>
      </c>
      <c r="AI65" s="22">
        <f t="shared" si="88"/>
        <v>152.00000000000003</v>
      </c>
      <c r="AJ65" s="22">
        <f t="shared" si="88"/>
        <v>149.00000000000003</v>
      </c>
      <c r="AK65" s="22">
        <f t="shared" si="88"/>
        <v>148.18918835931038</v>
      </c>
      <c r="AL65" s="22">
        <f t="shared" si="88"/>
        <v>144.58918835931038</v>
      </c>
      <c r="AM65" s="22">
        <f t="shared" si="88"/>
        <v>140.2891883593104</v>
      </c>
      <c r="AN65" s="22">
        <f>AN17-AN23-AN51+AN21+AN33</f>
        <v>150.60000000000002</v>
      </c>
      <c r="AO65" s="22">
        <f>AO17-AO23-AO51+AO21+AO33</f>
        <v>147.10000000000002</v>
      </c>
      <c r="AP65" s="22">
        <f>AP17-AP23-AP51+AP21+AP33</f>
        <v>143.10000000000002</v>
      </c>
      <c r="AQ65" s="22">
        <f t="shared" ref="AQ65:AU65" si="89">AQ17-AQ23-AQ51+AQ21+AQ33</f>
        <v>150.98918835931039</v>
      </c>
      <c r="AR65" s="22">
        <f t="shared" si="89"/>
        <v>148.48918835931039</v>
      </c>
      <c r="AS65" s="22">
        <f t="shared" si="89"/>
        <v>145.18918835931041</v>
      </c>
      <c r="AT65" s="58">
        <f t="shared" si="89"/>
        <v>159.60000000000002</v>
      </c>
      <c r="AU65" s="58">
        <f t="shared" si="89"/>
        <v>156.50000000000003</v>
      </c>
      <c r="AV65" s="22"/>
    </row>
  </sheetData>
  <mergeCells count="16">
    <mergeCell ref="AT1:AV1"/>
    <mergeCell ref="B1:D1"/>
    <mergeCell ref="E1:F1"/>
    <mergeCell ref="G1:I1"/>
    <mergeCell ref="J1:L1"/>
    <mergeCell ref="M1:O1"/>
    <mergeCell ref="AQ1:AS1"/>
    <mergeCell ref="AN1:AP1"/>
    <mergeCell ref="AK1:AM1"/>
    <mergeCell ref="AH1:AJ1"/>
    <mergeCell ref="P1:R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65"/>
  <sheetViews>
    <sheetView zoomScale="85" zoomScaleNormal="85" workbookViewId="0">
      <pane xSplit="1" ySplit="1" topLeftCell="V2" activePane="bottomRight" state="frozen"/>
      <selection pane="topRight"/>
      <selection pane="bottomLeft"/>
      <selection pane="bottomRight" activeCell="AF1" sqref="AF1:AG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20.09765625" style="1" customWidth="1"/>
    <col min="15" max="15" width="19.5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1" width="18.5" style="1" customWidth="1"/>
    <col min="22" max="22" width="15.59765625" style="2" customWidth="1"/>
    <col min="23" max="23" width="15.59765625" style="1" customWidth="1"/>
    <col min="24" max="24" width="15.59765625" style="2" customWidth="1"/>
    <col min="25" max="25" width="15.59765625" style="1" customWidth="1"/>
    <col min="26" max="26" width="15.59765625" style="2" customWidth="1"/>
    <col min="27" max="27" width="15.59765625" style="1" customWidth="1"/>
    <col min="28" max="28" width="15.59765625" style="2" customWidth="1"/>
    <col min="29" max="29" width="15.59765625" style="1" customWidth="1"/>
    <col min="30" max="30" width="15.59765625" style="2" customWidth="1"/>
    <col min="31" max="31" width="15.59765625" style="1" customWidth="1"/>
    <col min="32" max="32" width="15.59765625" style="90" customWidth="1"/>
    <col min="33" max="33" width="15.59765625" style="1" customWidth="1"/>
    <col min="34" max="16384" width="9" style="1"/>
  </cols>
  <sheetData>
    <row r="1" spans="1:33" ht="14.25" customHeight="1">
      <c r="A1" s="3"/>
      <c r="B1" s="96" t="s">
        <v>100</v>
      </c>
      <c r="C1" s="96"/>
      <c r="D1" s="96" t="s">
        <v>101</v>
      </c>
      <c r="E1" s="96"/>
      <c r="F1" s="97" t="s">
        <v>113</v>
      </c>
      <c r="G1" s="97"/>
      <c r="H1" s="96" t="s">
        <v>114</v>
      </c>
      <c r="I1" s="96"/>
      <c r="J1" s="96" t="s">
        <v>120</v>
      </c>
      <c r="K1" s="96"/>
      <c r="L1" s="96" t="s">
        <v>125</v>
      </c>
      <c r="M1" s="96"/>
      <c r="N1" s="96" t="s">
        <v>127</v>
      </c>
      <c r="O1" s="96"/>
      <c r="P1" s="96" t="s">
        <v>129</v>
      </c>
      <c r="Q1" s="96"/>
      <c r="R1" s="96" t="s">
        <v>130</v>
      </c>
      <c r="S1" s="96"/>
      <c r="T1" s="96" t="s">
        <v>131</v>
      </c>
      <c r="U1" s="96"/>
      <c r="V1" s="96" t="s">
        <v>137</v>
      </c>
      <c r="W1" s="96"/>
      <c r="X1" s="96" t="s">
        <v>140</v>
      </c>
      <c r="Y1" s="96"/>
      <c r="Z1" s="96" t="s">
        <v>142</v>
      </c>
      <c r="AA1" s="96"/>
      <c r="AB1" s="96" t="s">
        <v>144</v>
      </c>
      <c r="AC1" s="96"/>
      <c r="AD1" s="96" t="s">
        <v>146</v>
      </c>
      <c r="AE1" s="96"/>
      <c r="AF1" s="98" t="s">
        <v>147</v>
      </c>
      <c r="AG1" s="98"/>
    </row>
    <row r="2" spans="1:3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  <c r="AD2" s="5" t="s">
        <v>102</v>
      </c>
      <c r="AE2" s="6" t="s">
        <v>110</v>
      </c>
      <c r="AF2" s="87" t="s">
        <v>102</v>
      </c>
      <c r="AG2" s="86" t="s">
        <v>110</v>
      </c>
    </row>
    <row r="3" spans="1:3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>
        <v>2.6</v>
      </c>
      <c r="AF3" s="45">
        <v>2.6</v>
      </c>
      <c r="AG3" s="45">
        <v>2.6</v>
      </c>
    </row>
    <row r="4" spans="1:3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  <c r="AF4" s="45">
        <v>100</v>
      </c>
      <c r="AG4" s="45">
        <v>100</v>
      </c>
    </row>
    <row r="5" spans="1:3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88" t="s">
        <v>16</v>
      </c>
      <c r="AG5" s="88" t="s">
        <v>16</v>
      </c>
    </row>
    <row r="6" spans="1:3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88" t="s">
        <v>16</v>
      </c>
      <c r="AG6" s="88" t="s">
        <v>16</v>
      </c>
    </row>
    <row r="7" spans="1:33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88" t="s">
        <v>16</v>
      </c>
      <c r="AG7" s="88" t="s">
        <v>16</v>
      </c>
    </row>
    <row r="8" spans="1:33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  <c r="AF8" s="50">
        <v>0.1</v>
      </c>
      <c r="AG8" s="50">
        <v>0.1</v>
      </c>
    </row>
    <row r="9" spans="1:3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8" t="s">
        <v>22</v>
      </c>
      <c r="AE9" s="8" t="s">
        <v>22</v>
      </c>
      <c r="AF9" s="45" t="s">
        <v>22</v>
      </c>
      <c r="AG9" s="45" t="s">
        <v>22</v>
      </c>
    </row>
    <row r="10" spans="1:3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45">
        <v>3</v>
      </c>
      <c r="AG10" s="45">
        <v>3</v>
      </c>
    </row>
    <row r="11" spans="1:3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51"/>
      <c r="AG11" s="51"/>
    </row>
    <row r="12" spans="1:3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  <c r="AF12" s="45">
        <v>1</v>
      </c>
      <c r="AG12" s="45">
        <v>1</v>
      </c>
    </row>
    <row r="13" spans="1:3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  <c r="AB13" s="8">
        <v>64</v>
      </c>
      <c r="AC13" s="8">
        <v>64</v>
      </c>
      <c r="AD13" s="8">
        <v>64</v>
      </c>
      <c r="AE13" s="8">
        <v>64</v>
      </c>
      <c r="AF13" s="45">
        <v>64</v>
      </c>
      <c r="AG13" s="45">
        <v>64</v>
      </c>
    </row>
    <row r="14" spans="1:33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  <c r="AF14" s="45">
        <v>1</v>
      </c>
      <c r="AG14" s="45">
        <v>1</v>
      </c>
    </row>
    <row r="15" spans="1:3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8" t="s">
        <v>16</v>
      </c>
      <c r="AE15" s="8" t="s">
        <v>16</v>
      </c>
      <c r="AF15" s="45" t="s">
        <v>16</v>
      </c>
      <c r="AG15" s="45" t="s">
        <v>16</v>
      </c>
    </row>
    <row r="16" spans="1:3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8">
        <v>23</v>
      </c>
      <c r="AE16" s="8">
        <v>23</v>
      </c>
      <c r="AF16" s="45">
        <v>23</v>
      </c>
      <c r="AG16" s="45">
        <v>23</v>
      </c>
    </row>
    <row r="17" spans="1:3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8">
        <v>23</v>
      </c>
      <c r="AE17" s="8">
        <v>23</v>
      </c>
      <c r="AF17" s="45">
        <v>23</v>
      </c>
      <c r="AG17" s="45">
        <v>23</v>
      </c>
    </row>
    <row r="18" spans="1:33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 t="shared" ref="X18:AC18" si="4">X19+10*LOG10(X12/X14)-X20</f>
        <v>0</v>
      </c>
      <c r="Y18" s="12">
        <f t="shared" si="4"/>
        <v>-3</v>
      </c>
      <c r="Z18" s="8">
        <f t="shared" si="4"/>
        <v>0</v>
      </c>
      <c r="AA18" s="8">
        <f t="shared" si="4"/>
        <v>-3</v>
      </c>
      <c r="AB18" s="8">
        <f t="shared" si="4"/>
        <v>0</v>
      </c>
      <c r="AC18" s="8">
        <f t="shared" si="4"/>
        <v>-3</v>
      </c>
      <c r="AD18" s="8">
        <f>AD19+10*LOG10(AD12/AD14)-AD20</f>
        <v>0</v>
      </c>
      <c r="AE18" s="8">
        <f>AE19+10*LOG10(AE12/AE14)-AE20</f>
        <v>-3</v>
      </c>
      <c r="AF18" s="45">
        <f>AF19+10*LOG10(AF12/AF14)-AF20</f>
        <v>0</v>
      </c>
      <c r="AG18" s="45">
        <f>AG19+10*LOG10(AG12/AG14)-AG20</f>
        <v>-3</v>
      </c>
    </row>
    <row r="19" spans="1:3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8">
        <v>0</v>
      </c>
      <c r="AE19" s="8">
        <v>-3</v>
      </c>
      <c r="AF19" s="45">
        <v>0</v>
      </c>
      <c r="AG19" s="45">
        <v>-3</v>
      </c>
    </row>
    <row r="20" spans="1:33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45">
        <v>0</v>
      </c>
      <c r="AG20" s="45">
        <v>0</v>
      </c>
    </row>
    <row r="21" spans="1:3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45">
        <v>0</v>
      </c>
      <c r="AG21" s="45">
        <v>0</v>
      </c>
    </row>
    <row r="22" spans="1:3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45">
        <v>0</v>
      </c>
      <c r="AG22" s="45">
        <v>0</v>
      </c>
    </row>
    <row r="23" spans="1:3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45">
        <v>0</v>
      </c>
      <c r="AG23" s="45">
        <v>0</v>
      </c>
    </row>
    <row r="24" spans="1:3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  <c r="AF24" s="45">
        <v>1</v>
      </c>
      <c r="AG24" s="45">
        <v>1</v>
      </c>
    </row>
    <row r="25" spans="1:3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88" t="s">
        <v>16</v>
      </c>
      <c r="AG25" s="88" t="s">
        <v>16</v>
      </c>
    </row>
    <row r="26" spans="1:33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68">
        <f t="shared" si="5"/>
        <v>22</v>
      </c>
      <c r="G26" s="68">
        <f t="shared" si="5"/>
        <v>19</v>
      </c>
      <c r="H26" s="8">
        <f>H17+H18+H21-H23-H24</f>
        <v>22</v>
      </c>
      <c r="I26" s="8">
        <f>I17+I18+I21-I23-I24</f>
        <v>19</v>
      </c>
      <c r="J26" s="8">
        <f t="shared" ref="J26:K26" si="6">J17+J18+J21-J23-J24</f>
        <v>22</v>
      </c>
      <c r="K26" s="8">
        <f t="shared" si="6"/>
        <v>19</v>
      </c>
      <c r="L26" s="8">
        <f t="shared" ref="L26:Q26" si="7">L17+L18+L21-L23-L24</f>
        <v>22</v>
      </c>
      <c r="M26" s="8">
        <f t="shared" si="7"/>
        <v>19</v>
      </c>
      <c r="N26" s="8">
        <f t="shared" si="7"/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ref="R26:W26" si="8">R17+R18+R21-R23-R24</f>
        <v>22</v>
      </c>
      <c r="S26" s="8">
        <f t="shared" si="8"/>
        <v>19</v>
      </c>
      <c r="T26" s="8">
        <f t="shared" si="8"/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ref="X26:AC26" si="9">X17+X18+X21-X23-X24</f>
        <v>22</v>
      </c>
      <c r="Y26" s="8">
        <f t="shared" si="9"/>
        <v>19</v>
      </c>
      <c r="Z26" s="8">
        <f t="shared" si="9"/>
        <v>22</v>
      </c>
      <c r="AA26" s="8">
        <f t="shared" si="9"/>
        <v>19</v>
      </c>
      <c r="AB26" s="8">
        <f t="shared" si="9"/>
        <v>22</v>
      </c>
      <c r="AC26" s="8">
        <f t="shared" si="9"/>
        <v>19</v>
      </c>
      <c r="AD26" s="8">
        <f>AD17+AD18+AD21-AD23-AD24</f>
        <v>22</v>
      </c>
      <c r="AE26" s="8">
        <f>AE17+AE18+AE21-AE23-AE24</f>
        <v>19</v>
      </c>
      <c r="AF26" s="45">
        <f>AF17+AF18+AF21-AF23-AF24</f>
        <v>22</v>
      </c>
      <c r="AG26" s="45">
        <f>AG17+AG18+AG21-AG23-AG24</f>
        <v>19</v>
      </c>
    </row>
    <row r="27" spans="1:3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51"/>
      <c r="AG27" s="51"/>
    </row>
    <row r="28" spans="1:33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  <c r="AB28" s="8">
        <v>192</v>
      </c>
      <c r="AC28" s="8">
        <v>192</v>
      </c>
      <c r="AD28" s="8">
        <v>192</v>
      </c>
      <c r="AE28" s="8">
        <v>192</v>
      </c>
      <c r="AF28" s="45">
        <v>192</v>
      </c>
      <c r="AG28" s="45">
        <v>192</v>
      </c>
    </row>
    <row r="29" spans="1:33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  <c r="AD29" s="82">
        <v>4</v>
      </c>
      <c r="AE29" s="82">
        <v>4</v>
      </c>
      <c r="AF29" s="83">
        <v>4</v>
      </c>
      <c r="AG29" s="83">
        <v>4</v>
      </c>
    </row>
    <row r="30" spans="1:33" ht="41.4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8">
        <f t="shared" si="12"/>
        <v>12.771212547196624</v>
      </c>
      <c r="Q30" s="8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12">
        <f t="shared" si="13"/>
        <v>12.771212547196624</v>
      </c>
      <c r="W30" s="12">
        <f t="shared" si="13"/>
        <v>12.771212547196624</v>
      </c>
      <c r="X30" s="12">
        <f t="shared" ref="X30:AC30" si="14">X31+10*LOG10(X28/X13)-X32</f>
        <v>12.771212547196624</v>
      </c>
      <c r="Y30" s="12">
        <f t="shared" si="14"/>
        <v>12.771212547196624</v>
      </c>
      <c r="Z30" s="8">
        <f t="shared" si="14"/>
        <v>12.771212547196624</v>
      </c>
      <c r="AA30" s="8">
        <f t="shared" si="14"/>
        <v>12.771212547196624</v>
      </c>
      <c r="AB30" s="8">
        <f t="shared" si="14"/>
        <v>8.7712125471966242</v>
      </c>
      <c r="AC30" s="8">
        <f t="shared" si="14"/>
        <v>8.7712125471966242</v>
      </c>
      <c r="AD30" s="8">
        <f>AD31+10*LOG10(AD28/AD13)-AD32</f>
        <v>12.771212547196624</v>
      </c>
      <c r="AE30" s="8">
        <f>AE31+10*LOG10(AE28/AE13)-AE32</f>
        <v>12.771212547196624</v>
      </c>
      <c r="AF30" s="45">
        <f>AF31+10*LOG10(AF28/AF13)-AF32</f>
        <v>8.4812125471966233</v>
      </c>
      <c r="AG30" s="45">
        <f>AG31+10*LOG10(AG28/AG13)-AG32</f>
        <v>8.4812125471966233</v>
      </c>
    </row>
    <row r="31" spans="1:3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>
        <v>8</v>
      </c>
      <c r="AE31" s="8">
        <v>8</v>
      </c>
      <c r="AF31" s="45">
        <v>8</v>
      </c>
      <c r="AG31" s="45">
        <v>8</v>
      </c>
    </row>
    <row r="32" spans="1:33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4</v>
      </c>
      <c r="AC32" s="82">
        <v>4</v>
      </c>
      <c r="AD32" s="82">
        <v>0</v>
      </c>
      <c r="AE32" s="82">
        <v>0</v>
      </c>
      <c r="AF32" s="83">
        <v>4.29</v>
      </c>
      <c r="AG32" s="83">
        <v>4.29</v>
      </c>
    </row>
    <row r="33" spans="1:33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  <c r="T33" s="16">
        <v>12</v>
      </c>
      <c r="U33" s="16">
        <v>12</v>
      </c>
      <c r="V33" s="16">
        <v>8</v>
      </c>
      <c r="W33" s="16">
        <v>8</v>
      </c>
      <c r="X33" s="16">
        <v>8</v>
      </c>
      <c r="Y33" s="16">
        <v>8</v>
      </c>
      <c r="Z33" s="16">
        <v>4</v>
      </c>
      <c r="AA33" s="16">
        <v>4</v>
      </c>
      <c r="AB33" s="16">
        <v>9</v>
      </c>
      <c r="AC33" s="16">
        <v>9</v>
      </c>
      <c r="AD33" s="16">
        <v>7</v>
      </c>
      <c r="AE33" s="16">
        <v>7</v>
      </c>
      <c r="AF33" s="52">
        <v>12</v>
      </c>
      <c r="AG33" s="52">
        <v>12</v>
      </c>
    </row>
    <row r="34" spans="1:3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  <c r="AF34" s="45">
        <v>3</v>
      </c>
      <c r="AG34" s="45">
        <v>3</v>
      </c>
    </row>
    <row r="35" spans="1:3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8">
        <v>5</v>
      </c>
      <c r="AE35" s="8">
        <v>5</v>
      </c>
      <c r="AF35" s="45">
        <v>5</v>
      </c>
      <c r="AG35" s="45">
        <v>5</v>
      </c>
    </row>
    <row r="36" spans="1:33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45">
        <v>-174</v>
      </c>
      <c r="AG36" s="45">
        <v>-174</v>
      </c>
    </row>
    <row r="37" spans="1:33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45" t="s">
        <v>16</v>
      </c>
      <c r="AG37" s="45" t="s">
        <v>16</v>
      </c>
    </row>
    <row r="38" spans="1:33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16">
        <v>-165.7</v>
      </c>
      <c r="AA38" s="16">
        <v>-165.7</v>
      </c>
      <c r="AB38" s="82">
        <v>-999</v>
      </c>
      <c r="AC38" s="82">
        <v>-999</v>
      </c>
      <c r="AD38" s="82">
        <v>-165.7</v>
      </c>
      <c r="AE38" s="82">
        <v>-165.7</v>
      </c>
      <c r="AF38" s="83">
        <v>-999</v>
      </c>
      <c r="AG38" s="83">
        <v>-999</v>
      </c>
    </row>
    <row r="39" spans="1:33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88" t="s">
        <v>16</v>
      </c>
      <c r="AG39" s="88" t="s">
        <v>16</v>
      </c>
    </row>
    <row r="40" spans="1:33" ht="27.6">
      <c r="A40" s="7" t="s">
        <v>107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1">
        <f t="shared" si="15"/>
        <v>-169.00000000000003</v>
      </c>
      <c r="G40" s="71">
        <f t="shared" si="15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6">10*LOG10(10^((J35+J36)/10)+10^(J38/10))</f>
        <v>-164.03352307536667</v>
      </c>
      <c r="K40" s="12">
        <f t="shared" si="16"/>
        <v>-164.03352307536667</v>
      </c>
      <c r="L40" s="12">
        <f t="shared" ref="L40:Q40" si="17">10*LOG10(10^((L35+L36)/10)+10^(L38/10))</f>
        <v>-169.00000000000003</v>
      </c>
      <c r="M40" s="12">
        <f t="shared" si="17"/>
        <v>-169.00000000000003</v>
      </c>
      <c r="N40" s="8">
        <f t="shared" si="17"/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ref="R40:W40" si="18">10*LOG10(10^((R35+R36)/10)+10^(R38/10))</f>
        <v>-169.00000000000003</v>
      </c>
      <c r="S40" s="12">
        <f t="shared" si="18"/>
        <v>-169.00000000000003</v>
      </c>
      <c r="T40" s="12">
        <f t="shared" si="18"/>
        <v>-164.03352307536667</v>
      </c>
      <c r="U40" s="12">
        <f t="shared" si="18"/>
        <v>-164.03352307536667</v>
      </c>
      <c r="V40" s="12">
        <f t="shared" si="18"/>
        <v>-164.03352307536667</v>
      </c>
      <c r="W40" s="12">
        <f t="shared" si="18"/>
        <v>-164.03352307536667</v>
      </c>
      <c r="X40" s="12">
        <f t="shared" ref="X40:AC40" si="19">10*LOG10(10^((X35+X36)/10)+10^(X38/10))</f>
        <v>-169.00000000000003</v>
      </c>
      <c r="Y40" s="12">
        <f t="shared" si="19"/>
        <v>-169.00000000000003</v>
      </c>
      <c r="Z40" s="8">
        <f t="shared" si="19"/>
        <v>-164.03352307536667</v>
      </c>
      <c r="AA40" s="8">
        <f t="shared" si="19"/>
        <v>-164.03352307536667</v>
      </c>
      <c r="AB40" s="8">
        <f t="shared" si="19"/>
        <v>-169.00000000000003</v>
      </c>
      <c r="AC40" s="8">
        <f t="shared" si="19"/>
        <v>-169.00000000000003</v>
      </c>
      <c r="AD40" s="8">
        <f>10*LOG10(10^((AD35+AD36)/10)+10^(AD38/10))</f>
        <v>-164.03352307536667</v>
      </c>
      <c r="AE40" s="8">
        <f>10*LOG10(10^((AE35+AE36)/10)+10^(AE38/10))</f>
        <v>-164.03352307536667</v>
      </c>
      <c r="AF40" s="45">
        <f>10*LOG10(10^((AF35+AF36)/10)+10^(AF38/10))</f>
        <v>-169.00000000000003</v>
      </c>
      <c r="AG40" s="45">
        <f>10*LOG10(10^((AG35+AG36)/10)+10^(AG38/10))</f>
        <v>-169.00000000000003</v>
      </c>
    </row>
    <row r="41" spans="1:33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45" t="s">
        <v>16</v>
      </c>
      <c r="AG41" s="45" t="s">
        <v>16</v>
      </c>
    </row>
    <row r="42" spans="1:33">
      <c r="A42" s="33" t="s">
        <v>70</v>
      </c>
      <c r="B42" s="12">
        <f t="shared" ref="B42:G42" si="20">2*360*1000</f>
        <v>720000</v>
      </c>
      <c r="C42" s="12">
        <f t="shared" si="20"/>
        <v>720000</v>
      </c>
      <c r="D42" s="12">
        <f t="shared" si="20"/>
        <v>720000</v>
      </c>
      <c r="E42" s="12">
        <f t="shared" si="20"/>
        <v>720000</v>
      </c>
      <c r="F42" s="71">
        <f t="shared" si="20"/>
        <v>720000</v>
      </c>
      <c r="G42" s="71">
        <f t="shared" si="20"/>
        <v>720000</v>
      </c>
      <c r="H42" s="12">
        <f>2*360*1000</f>
        <v>720000</v>
      </c>
      <c r="I42" s="12">
        <f>2*360*1000</f>
        <v>720000</v>
      </c>
      <c r="J42" s="12">
        <f t="shared" ref="J42:K42" si="21">2*360*1000</f>
        <v>720000</v>
      </c>
      <c r="K42" s="12">
        <f t="shared" si="21"/>
        <v>720000</v>
      </c>
      <c r="L42" s="12">
        <f t="shared" ref="L42:Q42" si="22">2*360*1000</f>
        <v>720000</v>
      </c>
      <c r="M42" s="12">
        <f t="shared" si="22"/>
        <v>720000</v>
      </c>
      <c r="N42" s="8">
        <f t="shared" si="22"/>
        <v>720000</v>
      </c>
      <c r="O42" s="8">
        <f t="shared" si="22"/>
        <v>720000</v>
      </c>
      <c r="P42" s="8">
        <f t="shared" si="22"/>
        <v>720000</v>
      </c>
      <c r="Q42" s="8">
        <f t="shared" si="22"/>
        <v>720000</v>
      </c>
      <c r="R42" s="12">
        <f t="shared" ref="R42:W42" si="23">2*360*1000</f>
        <v>720000</v>
      </c>
      <c r="S42" s="12">
        <f t="shared" si="23"/>
        <v>720000</v>
      </c>
      <c r="T42" s="12">
        <f t="shared" si="23"/>
        <v>720000</v>
      </c>
      <c r="U42" s="12">
        <f t="shared" si="23"/>
        <v>720000</v>
      </c>
      <c r="V42" s="12">
        <f t="shared" si="23"/>
        <v>720000</v>
      </c>
      <c r="W42" s="12">
        <f t="shared" si="23"/>
        <v>720000</v>
      </c>
      <c r="X42" s="12">
        <f t="shared" ref="X42:AC42" si="24">2*360*1000</f>
        <v>720000</v>
      </c>
      <c r="Y42" s="12">
        <f t="shared" si="24"/>
        <v>720000</v>
      </c>
      <c r="Z42" s="8">
        <f t="shared" si="24"/>
        <v>720000</v>
      </c>
      <c r="AA42" s="8">
        <f t="shared" si="24"/>
        <v>720000</v>
      </c>
      <c r="AB42" s="8">
        <f t="shared" si="24"/>
        <v>720000</v>
      </c>
      <c r="AC42" s="8">
        <f t="shared" si="24"/>
        <v>720000</v>
      </c>
      <c r="AD42" s="8">
        <f>2*360*1000</f>
        <v>720000</v>
      </c>
      <c r="AE42" s="8">
        <f>2*360*1000</f>
        <v>720000</v>
      </c>
      <c r="AF42" s="45">
        <f>2*360*1000</f>
        <v>720000</v>
      </c>
      <c r="AG42" s="45">
        <f>2*360*1000</f>
        <v>720000</v>
      </c>
    </row>
    <row r="43" spans="1:33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" t="s">
        <v>16</v>
      </c>
      <c r="AE43" s="9" t="s">
        <v>16</v>
      </c>
      <c r="AF43" s="88" t="s">
        <v>16</v>
      </c>
      <c r="AG43" s="88" t="s">
        <v>16</v>
      </c>
    </row>
    <row r="44" spans="1:33">
      <c r="A44" s="7" t="s">
        <v>72</v>
      </c>
      <c r="B44" s="12">
        <f t="shared" ref="B44:G44" si="25">B40+10*LOG10(B42)</f>
        <v>-110.42667503568734</v>
      </c>
      <c r="C44" s="12">
        <f t="shared" si="25"/>
        <v>-110.42667503568734</v>
      </c>
      <c r="D44" s="12">
        <f t="shared" si="25"/>
        <v>-110.42667503568734</v>
      </c>
      <c r="E44" s="12">
        <f t="shared" si="25"/>
        <v>-110.42667503568734</v>
      </c>
      <c r="F44" s="71">
        <f t="shared" si="25"/>
        <v>-110.42667503568734</v>
      </c>
      <c r="G44" s="71">
        <f t="shared" si="25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26">J40+10*LOG10(J42)</f>
        <v>-105.46019811105398</v>
      </c>
      <c r="K44" s="12">
        <f t="shared" si="26"/>
        <v>-105.46019811105398</v>
      </c>
      <c r="L44" s="12">
        <f t="shared" ref="L44:Q44" si="27">L40+10*LOG10(L42)</f>
        <v>-110.42667503568734</v>
      </c>
      <c r="M44" s="12">
        <f t="shared" si="27"/>
        <v>-110.42667503568734</v>
      </c>
      <c r="N44" s="8">
        <f t="shared" si="27"/>
        <v>-110.42667503568734</v>
      </c>
      <c r="O44" s="8">
        <f t="shared" si="27"/>
        <v>-110.42667503568734</v>
      </c>
      <c r="P44" s="8">
        <f t="shared" si="27"/>
        <v>-105.46019811105398</v>
      </c>
      <c r="Q44" s="8">
        <f t="shared" si="27"/>
        <v>-105.46019811105398</v>
      </c>
      <c r="R44" s="12">
        <f t="shared" ref="R44:W44" si="28">R40+10*LOG10(R42)</f>
        <v>-110.42667503568734</v>
      </c>
      <c r="S44" s="12">
        <f t="shared" si="28"/>
        <v>-110.42667503568734</v>
      </c>
      <c r="T44" s="12">
        <f t="shared" si="28"/>
        <v>-105.46019811105398</v>
      </c>
      <c r="U44" s="12">
        <f t="shared" si="28"/>
        <v>-105.46019811105398</v>
      </c>
      <c r="V44" s="12">
        <f t="shared" si="28"/>
        <v>-105.46019811105398</v>
      </c>
      <c r="W44" s="12">
        <f t="shared" si="28"/>
        <v>-105.46019811105398</v>
      </c>
      <c r="X44" s="12">
        <f t="shared" ref="X44:AC44" si="29">X40+10*LOG10(X42)</f>
        <v>-110.42667503568734</v>
      </c>
      <c r="Y44" s="12">
        <f t="shared" si="29"/>
        <v>-110.42667503568734</v>
      </c>
      <c r="Z44" s="8">
        <f t="shared" si="29"/>
        <v>-105.46019811105398</v>
      </c>
      <c r="AA44" s="8">
        <f t="shared" si="29"/>
        <v>-105.46019811105398</v>
      </c>
      <c r="AB44" s="8">
        <f t="shared" si="29"/>
        <v>-110.42667503568734</v>
      </c>
      <c r="AC44" s="8">
        <f t="shared" si="29"/>
        <v>-110.42667503568734</v>
      </c>
      <c r="AD44" s="8">
        <f>AD40+10*LOG10(AD42)</f>
        <v>-105.46019811105398</v>
      </c>
      <c r="AE44" s="8">
        <f>AE40+10*LOG10(AE42)</f>
        <v>-105.46019811105398</v>
      </c>
      <c r="AF44" s="45">
        <f>AF40+10*LOG10(AF42)</f>
        <v>-110.42667503568734</v>
      </c>
      <c r="AG44" s="45">
        <f>AG40+10*LOG10(AG42)</f>
        <v>-110.42667503568734</v>
      </c>
    </row>
    <row r="45" spans="1:33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45" t="s">
        <v>16</v>
      </c>
      <c r="AG45" s="45" t="s">
        <v>16</v>
      </c>
    </row>
    <row r="46" spans="1:33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  <c r="T46" s="16">
        <v>-5.6</v>
      </c>
      <c r="U46" s="16">
        <v>-5.6</v>
      </c>
      <c r="V46" s="16">
        <v>-6.38</v>
      </c>
      <c r="W46" s="16">
        <v>-6.38</v>
      </c>
      <c r="X46" s="16">
        <v>-5.3</v>
      </c>
      <c r="Y46" s="16">
        <v>-2.2999999999999998</v>
      </c>
      <c r="Z46" s="16">
        <v>-5.5</v>
      </c>
      <c r="AA46" s="16">
        <v>-5.5</v>
      </c>
      <c r="AB46" s="16">
        <v>-6</v>
      </c>
      <c r="AC46" s="16">
        <v>-6</v>
      </c>
      <c r="AD46" s="16">
        <v>-6</v>
      </c>
      <c r="AE46" s="16">
        <v>-6</v>
      </c>
      <c r="AF46" s="52">
        <v>-6.6580000000000004</v>
      </c>
      <c r="AG46" s="52">
        <v>-6.6580000000000004</v>
      </c>
    </row>
    <row r="47" spans="1:3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45">
        <v>2</v>
      </c>
      <c r="AG47" s="45">
        <v>2</v>
      </c>
    </row>
    <row r="48" spans="1:33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45" t="s">
        <v>16</v>
      </c>
      <c r="AG48" s="45" t="s">
        <v>16</v>
      </c>
    </row>
    <row r="49" spans="1:3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45">
        <v>0</v>
      </c>
      <c r="AG49" s="45">
        <v>0</v>
      </c>
    </row>
    <row r="50" spans="1:33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88" t="s">
        <v>16</v>
      </c>
      <c r="AG50" s="88" t="s">
        <v>16</v>
      </c>
    </row>
    <row r="51" spans="1:33" ht="27.6">
      <c r="A51" s="7" t="s">
        <v>82</v>
      </c>
      <c r="B51" s="12">
        <f t="shared" ref="B51:G51" si="30">B44+B46+B47-B49</f>
        <v>-110.22667503568734</v>
      </c>
      <c r="C51" s="12">
        <f t="shared" si="30"/>
        <v>-110.22667503568734</v>
      </c>
      <c r="D51" s="12">
        <f t="shared" si="30"/>
        <v>-115.63667503568733</v>
      </c>
      <c r="E51" s="12">
        <f t="shared" si="30"/>
        <v>-115.63667503568733</v>
      </c>
      <c r="F51" s="71">
        <f t="shared" si="30"/>
        <v>-114.93667503568734</v>
      </c>
      <c r="G51" s="71">
        <f t="shared" si="30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31">J44+J46+J47-J49</f>
        <v>-105.68019811105398</v>
      </c>
      <c r="K51" s="12">
        <f t="shared" si="31"/>
        <v>-105.54019811105398</v>
      </c>
      <c r="L51" s="12">
        <f t="shared" ref="L51:Q51" si="32">L44+L46+L47-L49</f>
        <v>-114.84667503568734</v>
      </c>
      <c r="M51" s="12">
        <f t="shared" si="32"/>
        <v>-114.84667503568734</v>
      </c>
      <c r="N51" s="8">
        <f t="shared" si="32"/>
        <v>-113.72667503568734</v>
      </c>
      <c r="O51" s="8">
        <f t="shared" si="32"/>
        <v>-113.72667503568734</v>
      </c>
      <c r="P51" s="8">
        <f t="shared" si="32"/>
        <v>-100.96019811105398</v>
      </c>
      <c r="Q51" s="8">
        <f t="shared" si="32"/>
        <v>-100.96019811105398</v>
      </c>
      <c r="R51" s="12">
        <f t="shared" ref="R51:W51" si="33">R44+R46+R47-R49</f>
        <v>-114.87667503568734</v>
      </c>
      <c r="S51" s="12">
        <f t="shared" si="33"/>
        <v>-114.87667503568734</v>
      </c>
      <c r="T51" s="12">
        <f t="shared" si="33"/>
        <v>-109.06019811105398</v>
      </c>
      <c r="U51" s="12">
        <f t="shared" si="33"/>
        <v>-109.06019811105398</v>
      </c>
      <c r="V51" s="12">
        <f t="shared" si="33"/>
        <v>-109.84019811105398</v>
      </c>
      <c r="W51" s="12">
        <f t="shared" si="33"/>
        <v>-109.84019811105398</v>
      </c>
      <c r="X51" s="12">
        <f t="shared" ref="X51:AC51" si="34">X44+X46+X47-X49</f>
        <v>-113.72667503568734</v>
      </c>
      <c r="Y51" s="12">
        <f t="shared" si="34"/>
        <v>-110.72667503568734</v>
      </c>
      <c r="Z51" s="8">
        <f t="shared" si="34"/>
        <v>-108.96019811105398</v>
      </c>
      <c r="AA51" s="8">
        <f t="shared" si="34"/>
        <v>-108.96019811105398</v>
      </c>
      <c r="AB51" s="8">
        <f t="shared" si="34"/>
        <v>-114.42667503568734</v>
      </c>
      <c r="AC51" s="8">
        <f t="shared" si="34"/>
        <v>-114.42667503568734</v>
      </c>
      <c r="AD51" s="8">
        <f>AD44+AD46+AD47-AD49</f>
        <v>-109.46019811105398</v>
      </c>
      <c r="AE51" s="8">
        <f>AE44+AE46+AE47-AE49</f>
        <v>-109.46019811105398</v>
      </c>
      <c r="AF51" s="45">
        <f>AF44+AF46+AF47-AF49</f>
        <v>-115.08467503568734</v>
      </c>
      <c r="AG51" s="45">
        <f>AG44+AG46+AG47-AG49</f>
        <v>-115.08467503568734</v>
      </c>
    </row>
    <row r="52" spans="1:33" ht="27.6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  <c r="AB52" s="85" t="s">
        <v>16</v>
      </c>
      <c r="AC52" s="85" t="s">
        <v>16</v>
      </c>
      <c r="AD52" s="85" t="s">
        <v>16</v>
      </c>
      <c r="AE52" s="85" t="s">
        <v>16</v>
      </c>
      <c r="AF52" s="89" t="s">
        <v>16</v>
      </c>
      <c r="AG52" s="89" t="s">
        <v>16</v>
      </c>
    </row>
    <row r="53" spans="1:33" ht="27.6">
      <c r="A53" s="29" t="s">
        <v>85</v>
      </c>
      <c r="B53" s="22">
        <f t="shared" ref="B53:G53" si="35">B26+B30+B33-B34-B51</f>
        <v>149.99788758288395</v>
      </c>
      <c r="C53" s="22">
        <f t="shared" si="35"/>
        <v>146.99788758288395</v>
      </c>
      <c r="D53" s="22">
        <f t="shared" si="35"/>
        <v>156.49788758288395</v>
      </c>
      <c r="E53" s="22">
        <f t="shared" si="35"/>
        <v>153.49788758288395</v>
      </c>
      <c r="F53" s="76">
        <f t="shared" si="35"/>
        <v>154.70788758288398</v>
      </c>
      <c r="G53" s="76">
        <f t="shared" si="35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36">J26+J30+J33-J34-J51</f>
        <v>152.50291044144967</v>
      </c>
      <c r="K53" s="22">
        <f t="shared" si="36"/>
        <v>149.36291044144969</v>
      </c>
      <c r="L53" s="22">
        <f t="shared" ref="L53:Q53" si="37">L26+L30+L33-L34-L51</f>
        <v>154.61788758288395</v>
      </c>
      <c r="M53" s="22">
        <f t="shared" si="37"/>
        <v>151.61788758288395</v>
      </c>
      <c r="N53" s="22">
        <f t="shared" si="37"/>
        <v>153.49788758288395</v>
      </c>
      <c r="O53" s="22">
        <f t="shared" si="37"/>
        <v>150.49788758288395</v>
      </c>
      <c r="P53" s="22">
        <f t="shared" si="37"/>
        <v>147.78141065825059</v>
      </c>
      <c r="Q53" s="22">
        <f t="shared" si="37"/>
        <v>144.78141065825059</v>
      </c>
      <c r="R53" s="22">
        <f t="shared" ref="R53:W53" si="38">R26+R30+R33-R34-R51</f>
        <v>154.64788758288398</v>
      </c>
      <c r="S53" s="22">
        <f t="shared" si="38"/>
        <v>151.64788758288398</v>
      </c>
      <c r="T53" s="22">
        <f t="shared" si="38"/>
        <v>152.8314106582506</v>
      </c>
      <c r="U53" s="22">
        <f t="shared" si="38"/>
        <v>149.8314106582506</v>
      </c>
      <c r="V53" s="22">
        <f t="shared" si="38"/>
        <v>149.61141065825061</v>
      </c>
      <c r="W53" s="22">
        <f t="shared" si="38"/>
        <v>146.61141065825061</v>
      </c>
      <c r="X53" s="22">
        <f t="shared" ref="X53:AC53" si="39">X26+X30+X33-X34-X51</f>
        <v>153.49788758288395</v>
      </c>
      <c r="Y53" s="22">
        <f t="shared" si="39"/>
        <v>147.49788758288395</v>
      </c>
      <c r="Z53" s="22">
        <f t="shared" si="39"/>
        <v>144.73141065825061</v>
      </c>
      <c r="AA53" s="22">
        <f t="shared" si="39"/>
        <v>141.73141065825061</v>
      </c>
      <c r="AB53" s="22">
        <f t="shared" si="39"/>
        <v>151.19788758288396</v>
      </c>
      <c r="AC53" s="22">
        <f t="shared" si="39"/>
        <v>148.19788758288396</v>
      </c>
      <c r="AD53" s="22">
        <f>AD26+AD30+AD33-AD34-AD51</f>
        <v>148.23141065825061</v>
      </c>
      <c r="AE53" s="22">
        <f>AE26+AE30+AE33-AE34-AE51</f>
        <v>145.23141065825061</v>
      </c>
      <c r="AF53" s="58">
        <f>AF26+AF30+AF33-AF34-AF51</f>
        <v>154.56588758288396</v>
      </c>
      <c r="AG53" s="58">
        <f>AG26+AG30+AG33-AG34-AG51</f>
        <v>151.56588758288396</v>
      </c>
    </row>
    <row r="54" spans="1:3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51"/>
      <c r="AG54" s="51"/>
    </row>
    <row r="55" spans="1:3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>
        <v>7</v>
      </c>
      <c r="AF55" s="83">
        <v>7</v>
      </c>
      <c r="AG55" s="83">
        <v>7</v>
      </c>
    </row>
    <row r="56" spans="1:33" ht="27.6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" t="s">
        <v>16</v>
      </c>
      <c r="AE56" s="9" t="s">
        <v>16</v>
      </c>
      <c r="AF56" s="88" t="s">
        <v>16</v>
      </c>
      <c r="AG56" s="88" t="s">
        <v>16</v>
      </c>
    </row>
    <row r="57" spans="1:33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>
        <v>4.4800000000000004</v>
      </c>
      <c r="AF57" s="83">
        <v>4.4800000000000004</v>
      </c>
      <c r="AG57" s="83">
        <v>4.4800000000000004</v>
      </c>
    </row>
    <row r="58" spans="1:33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>
        <v>0</v>
      </c>
      <c r="AF58" s="83">
        <v>0</v>
      </c>
      <c r="AG58" s="83">
        <v>0</v>
      </c>
    </row>
    <row r="59" spans="1:33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>
        <v>26.25</v>
      </c>
      <c r="AF59" s="83">
        <v>26.25</v>
      </c>
      <c r="AG59" s="83">
        <v>26.25</v>
      </c>
    </row>
    <row r="60" spans="1:33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>
        <v>0</v>
      </c>
      <c r="AF60" s="83">
        <v>0</v>
      </c>
      <c r="AG60" s="83">
        <v>0</v>
      </c>
    </row>
    <row r="61" spans="1:33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  <c r="AB61" s="85" t="s">
        <v>16</v>
      </c>
      <c r="AC61" s="85" t="s">
        <v>16</v>
      </c>
      <c r="AD61" s="85" t="s">
        <v>16</v>
      </c>
      <c r="AE61" s="85" t="s">
        <v>16</v>
      </c>
      <c r="AF61" s="89" t="s">
        <v>16</v>
      </c>
      <c r="AG61" s="89" t="s">
        <v>16</v>
      </c>
    </row>
    <row r="62" spans="1:33" ht="27.6">
      <c r="A62" s="29" t="s">
        <v>109</v>
      </c>
      <c r="B62" s="22">
        <f t="shared" ref="B62:G62" si="40">B53-B57+B58-B59+B60</f>
        <v>119.26788758288396</v>
      </c>
      <c r="C62" s="22">
        <f t="shared" si="40"/>
        <v>116.26788758288396</v>
      </c>
      <c r="D62" s="22">
        <f t="shared" si="40"/>
        <v>125.76788758288396</v>
      </c>
      <c r="E62" s="22">
        <f t="shared" si="40"/>
        <v>122.76788758288396</v>
      </c>
      <c r="F62" s="76">
        <f t="shared" si="40"/>
        <v>123.97788758288399</v>
      </c>
      <c r="G62" s="76">
        <f t="shared" si="40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41">J53-J57+J58-J59+J60</f>
        <v>121.77291044144968</v>
      </c>
      <c r="K62" s="22">
        <f t="shared" si="41"/>
        <v>118.6329104414497</v>
      </c>
      <c r="L62" s="22">
        <f t="shared" ref="L62:Q62" si="42">L53-L57+L58-L59+L60</f>
        <v>123.88788758288396</v>
      </c>
      <c r="M62" s="22">
        <f t="shared" si="42"/>
        <v>120.88788758288396</v>
      </c>
      <c r="N62" s="22">
        <f t="shared" si="42"/>
        <v>122.76788758288396</v>
      </c>
      <c r="O62" s="22">
        <f t="shared" si="42"/>
        <v>119.76788758288396</v>
      </c>
      <c r="P62" s="22">
        <f t="shared" si="42"/>
        <v>117.0514106582506</v>
      </c>
      <c r="Q62" s="22">
        <f t="shared" si="42"/>
        <v>114.0514106582506</v>
      </c>
      <c r="R62" s="22">
        <f t="shared" ref="R62:W62" si="43">R53-R57+R58-R59+R60</f>
        <v>123.91788758288399</v>
      </c>
      <c r="S62" s="22">
        <f t="shared" si="43"/>
        <v>120.91788758288399</v>
      </c>
      <c r="T62" s="22">
        <f t="shared" si="43"/>
        <v>122.10141065825061</v>
      </c>
      <c r="U62" s="22">
        <f t="shared" si="43"/>
        <v>119.10141065825061</v>
      </c>
      <c r="V62" s="22">
        <f t="shared" si="43"/>
        <v>121.88141065825062</v>
      </c>
      <c r="W62" s="22">
        <f t="shared" si="43"/>
        <v>118.88141065825062</v>
      </c>
      <c r="X62" s="22">
        <f t="shared" ref="X62:AC62" si="44">X53-X57+X58-X59+X60</f>
        <v>122.76788758288396</v>
      </c>
      <c r="Y62" s="22">
        <f t="shared" si="44"/>
        <v>116.76788758288396</v>
      </c>
      <c r="Z62" s="22">
        <f t="shared" si="44"/>
        <v>114.00141065825062</v>
      </c>
      <c r="AA62" s="22">
        <f t="shared" si="44"/>
        <v>111.00141065825062</v>
      </c>
      <c r="AB62" s="22">
        <f t="shared" si="44"/>
        <v>120.46788758288398</v>
      </c>
      <c r="AC62" s="22">
        <f t="shared" si="44"/>
        <v>117.46788758288398</v>
      </c>
      <c r="AD62" s="22">
        <f>AD53-AD57+AD58-AD59+AD60</f>
        <v>117.50141065825062</v>
      </c>
      <c r="AE62" s="22">
        <f>AE53-AE57+AE58-AE59+AE60</f>
        <v>114.50141065825062</v>
      </c>
      <c r="AF62" s="58">
        <f>AF53-AF57+AF58-AF59+AF60</f>
        <v>123.83588758288397</v>
      </c>
      <c r="AG62" s="58">
        <f>AG53-AG57+AG58-AG59+AG60</f>
        <v>120.83588758288397</v>
      </c>
    </row>
    <row r="63" spans="1:33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91"/>
      <c r="AG63" s="91"/>
    </row>
    <row r="64" spans="1:33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  <c r="AB64" s="85" t="s">
        <v>16</v>
      </c>
      <c r="AC64" s="85" t="s">
        <v>16</v>
      </c>
      <c r="AD64" s="85" t="s">
        <v>16</v>
      </c>
      <c r="AE64" s="85" t="s">
        <v>16</v>
      </c>
      <c r="AF64" s="89" t="s">
        <v>16</v>
      </c>
      <c r="AG64" s="89" t="s">
        <v>16</v>
      </c>
    </row>
    <row r="65" spans="1:33">
      <c r="A65" s="29" t="s">
        <v>98</v>
      </c>
      <c r="B65" s="22">
        <f t="shared" ref="B65:G65" si="45">B17-B23-B51+B21+B33</f>
        <v>141.22667503568732</v>
      </c>
      <c r="C65" s="22">
        <f t="shared" si="45"/>
        <v>141.22667503568732</v>
      </c>
      <c r="D65" s="22">
        <f t="shared" si="45"/>
        <v>150.67667503568734</v>
      </c>
      <c r="E65" s="22">
        <f t="shared" si="45"/>
        <v>150.67667503568734</v>
      </c>
      <c r="F65" s="76">
        <f t="shared" si="45"/>
        <v>145.93667503568736</v>
      </c>
      <c r="G65" s="76">
        <f t="shared" si="45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46">J17-J23-J51+J21+J33</f>
        <v>143.73169789425305</v>
      </c>
      <c r="K65" s="22">
        <f t="shared" si="46"/>
        <v>143.59169789425306</v>
      </c>
      <c r="L65" s="22">
        <f t="shared" ref="L65:Q65" si="47">L17-L23-L51+L21+L33</f>
        <v>145.84667503568733</v>
      </c>
      <c r="M65" s="22">
        <f t="shared" si="47"/>
        <v>145.84667503568733</v>
      </c>
      <c r="N65" s="22">
        <f t="shared" si="47"/>
        <v>144.72667503568732</v>
      </c>
      <c r="O65" s="22">
        <f t="shared" si="47"/>
        <v>144.72667503568732</v>
      </c>
      <c r="P65" s="22">
        <f t="shared" si="47"/>
        <v>139.010198111054</v>
      </c>
      <c r="Q65" s="22">
        <f t="shared" si="47"/>
        <v>139.010198111054</v>
      </c>
      <c r="R65" s="22">
        <f t="shared" ref="R65:W65" si="48">R17-R23-R51+R21+R33</f>
        <v>145.87667503568736</v>
      </c>
      <c r="S65" s="22">
        <f t="shared" si="48"/>
        <v>145.87667503568736</v>
      </c>
      <c r="T65" s="22">
        <f t="shared" si="48"/>
        <v>144.06019811105398</v>
      </c>
      <c r="U65" s="22">
        <f t="shared" si="48"/>
        <v>144.06019811105398</v>
      </c>
      <c r="V65" s="22">
        <f t="shared" si="48"/>
        <v>140.84019811105398</v>
      </c>
      <c r="W65" s="22">
        <f t="shared" si="48"/>
        <v>140.84019811105398</v>
      </c>
      <c r="X65" s="22">
        <f t="shared" ref="X65:AC65" si="49">X17-X23-X51+X21+X33</f>
        <v>144.72667503568732</v>
      </c>
      <c r="Y65" s="22">
        <f t="shared" si="49"/>
        <v>141.72667503568732</v>
      </c>
      <c r="Z65" s="22">
        <f t="shared" si="49"/>
        <v>135.96019811105398</v>
      </c>
      <c r="AA65" s="22">
        <f t="shared" si="49"/>
        <v>135.96019811105398</v>
      </c>
      <c r="AB65" s="22">
        <f t="shared" si="49"/>
        <v>146.42667503568734</v>
      </c>
      <c r="AC65" s="22">
        <f t="shared" si="49"/>
        <v>146.42667503568734</v>
      </c>
      <c r="AD65" s="22">
        <f>AD17-AD23-AD51+AD21+AD33</f>
        <v>139.46019811105398</v>
      </c>
      <c r="AE65" s="22">
        <f>AE17-AE23-AE51+AE21+AE33</f>
        <v>139.46019811105398</v>
      </c>
      <c r="AF65" s="58">
        <f>AF17-AF23-AF51+AF21+AF33</f>
        <v>150.08467503568733</v>
      </c>
      <c r="AG65" s="58">
        <f>AG17-AG23-AG51+AG21+AG33</f>
        <v>150.08467503568733</v>
      </c>
    </row>
  </sheetData>
  <mergeCells count="16">
    <mergeCell ref="AF1:AG1"/>
    <mergeCell ref="B1:C1"/>
    <mergeCell ref="D1:E1"/>
    <mergeCell ref="F1:G1"/>
    <mergeCell ref="H1:I1"/>
    <mergeCell ref="J1:K1"/>
    <mergeCell ref="AD1:AE1"/>
    <mergeCell ref="AB1:AC1"/>
    <mergeCell ref="Z1:AA1"/>
    <mergeCell ref="X1:Y1"/>
    <mergeCell ref="L1:M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5"/>
  <sheetViews>
    <sheetView workbookViewId="0">
      <pane xSplit="1" ySplit="1" topLeftCell="I2" activePane="bottomRight" state="frozen"/>
      <selection pane="topRight"/>
      <selection pane="bottomLeft"/>
      <selection pane="bottomRight" activeCell="P2" sqref="P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7" width="16.09765625" style="1" customWidth="1"/>
    <col min="8" max="8" width="15.59765625" style="2" customWidth="1"/>
    <col min="9" max="10" width="15.59765625" style="1" customWidth="1"/>
    <col min="11" max="11" width="15.59765625" style="2" customWidth="1"/>
    <col min="12" max="13" width="15.59765625" style="1" customWidth="1"/>
    <col min="14" max="14" width="15.59765625" style="90" customWidth="1"/>
    <col min="15" max="16" width="15.59765625" style="1" customWidth="1"/>
    <col min="17" max="16384" width="9" style="1"/>
  </cols>
  <sheetData>
    <row r="1" spans="1:16" ht="14.25" customHeight="1">
      <c r="A1" s="3"/>
      <c r="B1" s="96" t="s">
        <v>119</v>
      </c>
      <c r="C1" s="96"/>
      <c r="D1" s="96"/>
      <c r="E1" s="96" t="s">
        <v>136</v>
      </c>
      <c r="F1" s="96"/>
      <c r="G1" s="96"/>
      <c r="H1" s="96" t="s">
        <v>141</v>
      </c>
      <c r="I1" s="96"/>
      <c r="J1" s="96"/>
      <c r="K1" s="96" t="s">
        <v>144</v>
      </c>
      <c r="L1" s="96"/>
      <c r="M1" s="96"/>
      <c r="N1" s="96" t="s">
        <v>147</v>
      </c>
      <c r="O1" s="96"/>
      <c r="P1" s="96"/>
    </row>
    <row r="2" spans="1:16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5" t="s">
        <v>102</v>
      </c>
      <c r="I2" s="6" t="s">
        <v>103</v>
      </c>
      <c r="J2" s="6" t="s">
        <v>104</v>
      </c>
      <c r="K2" s="5" t="s">
        <v>102</v>
      </c>
      <c r="L2" s="6" t="s">
        <v>103</v>
      </c>
      <c r="M2" s="6" t="s">
        <v>104</v>
      </c>
      <c r="N2" s="87" t="s">
        <v>102</v>
      </c>
      <c r="O2" s="86" t="s">
        <v>103</v>
      </c>
      <c r="P2" s="6" t="s">
        <v>104</v>
      </c>
    </row>
    <row r="3" spans="1:16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/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45">
        <v>2.6</v>
      </c>
      <c r="O3" s="45">
        <v>2.6</v>
      </c>
      <c r="P3" s="8"/>
    </row>
    <row r="4" spans="1:16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/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45">
        <v>100</v>
      </c>
      <c r="O4" s="45">
        <v>100</v>
      </c>
      <c r="P4" s="8"/>
    </row>
    <row r="5" spans="1:16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/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88" t="s">
        <v>16</v>
      </c>
      <c r="O5" s="88" t="s">
        <v>16</v>
      </c>
      <c r="P5" s="9"/>
    </row>
    <row r="6" spans="1:16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/>
      <c r="H6" s="12" t="s">
        <v>16</v>
      </c>
      <c r="I6" s="12" t="s">
        <v>16</v>
      </c>
      <c r="J6" s="12" t="s">
        <v>16</v>
      </c>
      <c r="K6" s="8" t="s">
        <v>16</v>
      </c>
      <c r="L6" s="8" t="s">
        <v>16</v>
      </c>
      <c r="M6" s="8" t="s">
        <v>16</v>
      </c>
      <c r="N6" s="45" t="s">
        <v>16</v>
      </c>
      <c r="O6" s="45" t="s">
        <v>16</v>
      </c>
      <c r="P6" s="8"/>
    </row>
    <row r="7" spans="1:16">
      <c r="A7" s="7" t="s">
        <v>19</v>
      </c>
      <c r="B7" s="84" t="s">
        <v>122</v>
      </c>
      <c r="C7" s="84" t="s">
        <v>122</v>
      </c>
      <c r="D7" s="84" t="s">
        <v>122</v>
      </c>
      <c r="E7" s="9" t="s">
        <v>16</v>
      </c>
      <c r="F7" s="9" t="s">
        <v>16</v>
      </c>
      <c r="G7" s="84"/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88" t="s">
        <v>16</v>
      </c>
      <c r="O7" s="88" t="s">
        <v>16</v>
      </c>
      <c r="P7" s="9"/>
    </row>
    <row r="8" spans="1:16">
      <c r="A8" s="7" t="s">
        <v>20</v>
      </c>
      <c r="B8" s="26">
        <v>0.01</v>
      </c>
      <c r="C8" s="26">
        <v>0.01</v>
      </c>
      <c r="D8" s="26">
        <v>0.01</v>
      </c>
      <c r="E8" s="26">
        <v>0.1</v>
      </c>
      <c r="F8" s="26">
        <v>0.1</v>
      </c>
      <c r="G8" s="26"/>
      <c r="H8" s="26">
        <v>0.1</v>
      </c>
      <c r="I8" s="26">
        <v>0.1</v>
      </c>
      <c r="J8" s="26">
        <v>0.1</v>
      </c>
      <c r="K8" s="11">
        <v>0.1</v>
      </c>
      <c r="L8" s="11">
        <v>0.1</v>
      </c>
      <c r="M8" s="11">
        <v>0.1</v>
      </c>
      <c r="N8" s="50">
        <v>0.1</v>
      </c>
      <c r="O8" s="50">
        <v>0.1</v>
      </c>
      <c r="P8" s="11"/>
    </row>
    <row r="9" spans="1:1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/>
      <c r="H9" s="12" t="s">
        <v>22</v>
      </c>
      <c r="I9" s="12" t="s">
        <v>22</v>
      </c>
      <c r="J9" s="12" t="s">
        <v>22</v>
      </c>
      <c r="K9" s="8" t="s">
        <v>22</v>
      </c>
      <c r="L9" s="8" t="s">
        <v>22</v>
      </c>
      <c r="M9" s="8" t="s">
        <v>22</v>
      </c>
      <c r="N9" s="45" t="s">
        <v>22</v>
      </c>
      <c r="O9" s="45" t="s">
        <v>22</v>
      </c>
      <c r="P9" s="8"/>
    </row>
    <row r="10" spans="1:16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/>
      <c r="H10" s="12">
        <v>3</v>
      </c>
      <c r="I10" s="12">
        <v>3</v>
      </c>
      <c r="J10" s="12">
        <v>3</v>
      </c>
      <c r="K10" s="8">
        <v>3</v>
      </c>
      <c r="L10" s="8">
        <v>3</v>
      </c>
      <c r="M10" s="8">
        <v>3</v>
      </c>
      <c r="N10" s="45">
        <v>3</v>
      </c>
      <c r="O10" s="45">
        <v>3</v>
      </c>
      <c r="P10" s="8"/>
    </row>
    <row r="11" spans="1:16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1"/>
      <c r="O11" s="51"/>
      <c r="P11" s="13"/>
    </row>
    <row r="12" spans="1:16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12"/>
      <c r="H12" s="12">
        <v>192</v>
      </c>
      <c r="I12" s="12">
        <v>192</v>
      </c>
      <c r="J12" s="12">
        <v>192</v>
      </c>
      <c r="K12" s="8">
        <v>192</v>
      </c>
      <c r="L12" s="8">
        <v>192</v>
      </c>
      <c r="M12" s="8">
        <v>192</v>
      </c>
      <c r="N12" s="45">
        <v>192</v>
      </c>
      <c r="O12" s="45">
        <v>192</v>
      </c>
      <c r="P12" s="8"/>
    </row>
    <row r="13" spans="1:16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12"/>
      <c r="H13" s="12">
        <v>64</v>
      </c>
      <c r="I13" s="12">
        <v>64</v>
      </c>
      <c r="J13" s="12">
        <v>64</v>
      </c>
      <c r="K13" s="8">
        <v>64</v>
      </c>
      <c r="L13" s="8">
        <v>64</v>
      </c>
      <c r="M13" s="8">
        <v>64</v>
      </c>
      <c r="N13" s="45">
        <v>64</v>
      </c>
      <c r="O13" s="45">
        <v>64</v>
      </c>
      <c r="P13" s="8"/>
    </row>
    <row r="14" spans="1:16">
      <c r="A14" s="15" t="s">
        <v>29</v>
      </c>
      <c r="B14" s="82">
        <v>2</v>
      </c>
      <c r="C14" s="82">
        <v>2</v>
      </c>
      <c r="D14" s="82">
        <v>2</v>
      </c>
      <c r="E14" s="82">
        <v>4</v>
      </c>
      <c r="F14" s="82">
        <v>4</v>
      </c>
      <c r="G14" s="82"/>
      <c r="H14" s="82">
        <v>4</v>
      </c>
      <c r="I14" s="82">
        <v>4</v>
      </c>
      <c r="J14" s="82">
        <v>4</v>
      </c>
      <c r="K14" s="82">
        <v>4</v>
      </c>
      <c r="L14" s="82">
        <v>4</v>
      </c>
      <c r="M14" s="82">
        <v>4</v>
      </c>
      <c r="N14" s="83">
        <v>4</v>
      </c>
      <c r="O14" s="83">
        <v>4</v>
      </c>
      <c r="P14" s="82"/>
    </row>
    <row r="15" spans="1:16">
      <c r="A15" s="10" t="s">
        <v>31</v>
      </c>
      <c r="B15" s="83">
        <v>33</v>
      </c>
      <c r="C15" s="83">
        <v>33</v>
      </c>
      <c r="D15" s="83">
        <v>33</v>
      </c>
      <c r="E15" s="12">
        <v>33</v>
      </c>
      <c r="F15" s="12">
        <v>33</v>
      </c>
      <c r="G15" s="12"/>
      <c r="H15" s="12">
        <v>33</v>
      </c>
      <c r="I15" s="12">
        <v>33</v>
      </c>
      <c r="J15" s="12">
        <v>33</v>
      </c>
      <c r="K15" s="8">
        <v>33</v>
      </c>
      <c r="L15" s="8">
        <v>33</v>
      </c>
      <c r="M15" s="8">
        <v>33</v>
      </c>
      <c r="N15" s="45">
        <v>33</v>
      </c>
      <c r="O15" s="45">
        <v>33</v>
      </c>
      <c r="P15" s="8"/>
    </row>
    <row r="16" spans="1:16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12"/>
      <c r="H16" s="12">
        <f t="shared" ref="H16:O16" si="0">H15+10*LOG10(H4)</f>
        <v>53</v>
      </c>
      <c r="I16" s="12">
        <f t="shared" si="0"/>
        <v>53</v>
      </c>
      <c r="J16" s="12">
        <f t="shared" si="0"/>
        <v>53</v>
      </c>
      <c r="K16" s="8">
        <f t="shared" si="0"/>
        <v>53</v>
      </c>
      <c r="L16" s="8">
        <f t="shared" si="0"/>
        <v>53</v>
      </c>
      <c r="M16" s="8">
        <f t="shared" si="0"/>
        <v>53</v>
      </c>
      <c r="N16" s="45">
        <f t="shared" si="0"/>
        <v>53</v>
      </c>
      <c r="O16" s="45">
        <f t="shared" si="0"/>
        <v>53</v>
      </c>
      <c r="P16" s="8"/>
    </row>
    <row r="17" spans="1:16" ht="27.6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  <c r="E17" s="12">
        <f>E15+10*LOG10(E42/1000000)</f>
        <v>41.57332496431269</v>
      </c>
      <c r="F17" s="12">
        <f>F15+10*LOG10(F42/1000000)</f>
        <v>41.57332496431269</v>
      </c>
      <c r="G17" s="12"/>
      <c r="H17" s="12">
        <f t="shared" ref="H17:O17" si="1">H15+10*LOG10(H42/1000000)</f>
        <v>41.57332496431269</v>
      </c>
      <c r="I17" s="12">
        <f t="shared" si="1"/>
        <v>41.57332496431269</v>
      </c>
      <c r="J17" s="12">
        <f t="shared" si="1"/>
        <v>41.57332496431269</v>
      </c>
      <c r="K17" s="8">
        <f t="shared" si="1"/>
        <v>41.57332496431269</v>
      </c>
      <c r="L17" s="8">
        <f t="shared" si="1"/>
        <v>41.57332496431269</v>
      </c>
      <c r="M17" s="8">
        <f t="shared" si="1"/>
        <v>41.57332496431269</v>
      </c>
      <c r="N17" s="45">
        <f t="shared" si="1"/>
        <v>41.57332496431269</v>
      </c>
      <c r="O17" s="45">
        <f t="shared" si="1"/>
        <v>41.57332496431269</v>
      </c>
      <c r="P17" s="8"/>
    </row>
    <row r="18" spans="1:16" ht="41.4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  <c r="E18" s="12">
        <f>E19+10*LOG10(E12/E13)-E20</f>
        <v>12.771212547196624</v>
      </c>
      <c r="F18" s="12">
        <f>F19+10*LOG10(F12/F13)-F20</f>
        <v>12.771212547196624</v>
      </c>
      <c r="G18" s="12"/>
      <c r="H18" s="12">
        <f t="shared" ref="H18:O18" si="2">H19+10*LOG10(H12/H13)-H20</f>
        <v>12.771212547196624</v>
      </c>
      <c r="I18" s="12">
        <f t="shared" si="2"/>
        <v>12.771212547196624</v>
      </c>
      <c r="J18" s="12">
        <f t="shared" si="2"/>
        <v>12.771212547196624</v>
      </c>
      <c r="K18" s="8">
        <f t="shared" si="2"/>
        <v>12.771212547196624</v>
      </c>
      <c r="L18" s="8">
        <f t="shared" si="2"/>
        <v>12.771212547196624</v>
      </c>
      <c r="M18" s="8">
        <f t="shared" si="2"/>
        <v>12.771212547196624</v>
      </c>
      <c r="N18" s="45">
        <f t="shared" si="2"/>
        <v>8.4812125471966233</v>
      </c>
      <c r="O18" s="45">
        <f t="shared" si="2"/>
        <v>8.4812125471966233</v>
      </c>
      <c r="P18" s="8"/>
    </row>
    <row r="19" spans="1:16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/>
      <c r="H19" s="12">
        <v>8</v>
      </c>
      <c r="I19" s="12">
        <v>8</v>
      </c>
      <c r="J19" s="12">
        <v>8</v>
      </c>
      <c r="K19" s="8">
        <v>8</v>
      </c>
      <c r="L19" s="8">
        <v>8</v>
      </c>
      <c r="M19" s="8">
        <v>8</v>
      </c>
      <c r="N19" s="45">
        <v>8</v>
      </c>
      <c r="O19" s="45">
        <v>8</v>
      </c>
      <c r="P19" s="8"/>
    </row>
    <row r="20" spans="1:16" ht="41.4">
      <c r="A20" s="15" t="s">
        <v>41</v>
      </c>
      <c r="B20" s="82">
        <v>2.65</v>
      </c>
      <c r="C20" s="82">
        <v>2.65</v>
      </c>
      <c r="D20" s="82">
        <v>2.65</v>
      </c>
      <c r="E20" s="82">
        <v>0</v>
      </c>
      <c r="F20" s="82">
        <v>0</v>
      </c>
      <c r="G20" s="82"/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3">
        <v>4.29</v>
      </c>
      <c r="O20" s="83">
        <v>4.29</v>
      </c>
      <c r="P20" s="82"/>
    </row>
    <row r="21" spans="1:16" ht="61.5" customHeight="1">
      <c r="A21" s="27" t="s">
        <v>43</v>
      </c>
      <c r="B21" s="16">
        <f>10*LOG10(B13/B14)-8</f>
        <v>7.0514997831990609</v>
      </c>
      <c r="C21" s="16">
        <f t="shared" ref="C21:D21" si="3">10*LOG10(C13/C14)-8</f>
        <v>7.0514997831990609</v>
      </c>
      <c r="D21" s="16">
        <f t="shared" si="3"/>
        <v>7.0514997831990609</v>
      </c>
      <c r="E21" s="16">
        <v>6</v>
      </c>
      <c r="F21" s="16">
        <v>6</v>
      </c>
      <c r="G21" s="16"/>
      <c r="H21" s="16">
        <v>8</v>
      </c>
      <c r="I21" s="16">
        <v>8</v>
      </c>
      <c r="J21" s="16">
        <v>8</v>
      </c>
      <c r="K21" s="16">
        <v>6</v>
      </c>
      <c r="L21" s="16">
        <v>6</v>
      </c>
      <c r="M21" s="16">
        <v>6</v>
      </c>
      <c r="N21" s="52">
        <v>12</v>
      </c>
      <c r="O21" s="52">
        <v>12</v>
      </c>
      <c r="P21" s="16"/>
    </row>
    <row r="22" spans="1:16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/>
      <c r="H22" s="12">
        <v>0</v>
      </c>
      <c r="I22" s="12">
        <v>0</v>
      </c>
      <c r="J22" s="12">
        <v>0</v>
      </c>
      <c r="K22" s="8">
        <v>0</v>
      </c>
      <c r="L22" s="8">
        <v>0</v>
      </c>
      <c r="M22" s="8">
        <v>0</v>
      </c>
      <c r="N22" s="45">
        <v>0</v>
      </c>
      <c r="O22" s="45">
        <v>0</v>
      </c>
      <c r="P22" s="8"/>
    </row>
    <row r="23" spans="1:16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/>
      <c r="H23" s="12">
        <v>0</v>
      </c>
      <c r="I23" s="12">
        <v>0</v>
      </c>
      <c r="J23" s="12">
        <v>0</v>
      </c>
      <c r="K23" s="8">
        <v>0</v>
      </c>
      <c r="L23" s="8">
        <v>0</v>
      </c>
      <c r="M23" s="8">
        <v>0</v>
      </c>
      <c r="N23" s="45">
        <v>0</v>
      </c>
      <c r="O23" s="45">
        <v>0</v>
      </c>
      <c r="P23" s="8"/>
    </row>
    <row r="24" spans="1:16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/>
      <c r="H24" s="12">
        <v>3</v>
      </c>
      <c r="I24" s="12">
        <v>3</v>
      </c>
      <c r="J24" s="12">
        <v>3</v>
      </c>
      <c r="K24" s="8">
        <v>3</v>
      </c>
      <c r="L24" s="8">
        <v>3</v>
      </c>
      <c r="M24" s="8">
        <v>3</v>
      </c>
      <c r="N24" s="45">
        <v>3</v>
      </c>
      <c r="O24" s="45">
        <v>3</v>
      </c>
      <c r="P24" s="8"/>
    </row>
    <row r="25" spans="1:16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/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88" t="s">
        <v>16</v>
      </c>
      <c r="O25" s="88" t="s">
        <v>16</v>
      </c>
      <c r="P25" s="9"/>
    </row>
    <row r="26" spans="1:16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  <c r="E26" s="12">
        <f>E17+E18+E21-E23-E24</f>
        <v>57.344537511509316</v>
      </c>
      <c r="F26" s="12">
        <f>F17+F18+F21-F23-F24</f>
        <v>57.344537511509316</v>
      </c>
      <c r="G26" s="12"/>
      <c r="H26" s="12">
        <f t="shared" ref="H26:O26" si="4">H17+H18+H21-H23-H24</f>
        <v>59.344537511509316</v>
      </c>
      <c r="I26" s="12">
        <f t="shared" si="4"/>
        <v>59.344537511509316</v>
      </c>
      <c r="J26" s="12">
        <f t="shared" si="4"/>
        <v>59.344537511509316</v>
      </c>
      <c r="K26" s="8">
        <f t="shared" si="4"/>
        <v>57.344537511509316</v>
      </c>
      <c r="L26" s="8">
        <f t="shared" si="4"/>
        <v>57.344537511509316</v>
      </c>
      <c r="M26" s="8">
        <f t="shared" si="4"/>
        <v>57.344537511509316</v>
      </c>
      <c r="N26" s="45">
        <f t="shared" si="4"/>
        <v>59.054537511509309</v>
      </c>
      <c r="O26" s="45">
        <f t="shared" si="4"/>
        <v>59.054537511509309</v>
      </c>
      <c r="P26" s="8"/>
    </row>
    <row r="27" spans="1:16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1"/>
      <c r="O27" s="51"/>
      <c r="P27" s="13"/>
    </row>
    <row r="28" spans="1:16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2</v>
      </c>
      <c r="G28" s="12"/>
      <c r="H28" s="12">
        <v>4</v>
      </c>
      <c r="I28" s="12">
        <v>2</v>
      </c>
      <c r="J28" s="12">
        <v>1</v>
      </c>
      <c r="K28" s="8">
        <v>4</v>
      </c>
      <c r="L28" s="8">
        <v>2</v>
      </c>
      <c r="M28" s="8">
        <v>1</v>
      </c>
      <c r="N28" s="45">
        <v>4</v>
      </c>
      <c r="O28" s="45">
        <v>2</v>
      </c>
      <c r="P28" s="8"/>
    </row>
    <row r="29" spans="1:16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2</v>
      </c>
      <c r="G29" s="12"/>
      <c r="H29" s="12">
        <v>4</v>
      </c>
      <c r="I29" s="12">
        <v>2</v>
      </c>
      <c r="J29" s="12">
        <v>1</v>
      </c>
      <c r="K29" s="8">
        <v>4</v>
      </c>
      <c r="L29" s="8">
        <v>2</v>
      </c>
      <c r="M29" s="8">
        <v>1</v>
      </c>
      <c r="N29" s="45">
        <v>4</v>
      </c>
      <c r="O29" s="45">
        <v>2</v>
      </c>
      <c r="P29" s="8"/>
    </row>
    <row r="30" spans="1:16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/>
      <c r="H30" s="12">
        <f t="shared" ref="H30:O30" si="5">H31+10*LOG10(H28/H29)-H32</f>
        <v>0</v>
      </c>
      <c r="I30" s="12">
        <f t="shared" si="5"/>
        <v>-3</v>
      </c>
      <c r="J30" s="12">
        <f t="shared" si="5"/>
        <v>-3</v>
      </c>
      <c r="K30" s="8">
        <f t="shared" si="5"/>
        <v>0</v>
      </c>
      <c r="L30" s="8">
        <f t="shared" si="5"/>
        <v>-3</v>
      </c>
      <c r="M30" s="8">
        <f t="shared" si="5"/>
        <v>-3</v>
      </c>
      <c r="N30" s="45">
        <f t="shared" si="5"/>
        <v>0</v>
      </c>
      <c r="O30" s="45">
        <f t="shared" si="5"/>
        <v>-3</v>
      </c>
      <c r="P30" s="8"/>
    </row>
    <row r="31" spans="1:16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/>
      <c r="H31" s="12">
        <v>0</v>
      </c>
      <c r="I31" s="12">
        <v>-3</v>
      </c>
      <c r="J31" s="12">
        <v>-3</v>
      </c>
      <c r="K31" s="8">
        <v>0</v>
      </c>
      <c r="L31" s="8">
        <v>-3</v>
      </c>
      <c r="M31" s="8">
        <v>-3</v>
      </c>
      <c r="N31" s="45">
        <v>0</v>
      </c>
      <c r="O31" s="45">
        <v>-3</v>
      </c>
      <c r="P31" s="8"/>
    </row>
    <row r="32" spans="1:16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/>
      <c r="H32" s="12">
        <v>0</v>
      </c>
      <c r="I32" s="12">
        <v>0</v>
      </c>
      <c r="J32" s="12">
        <v>0</v>
      </c>
      <c r="K32" s="8">
        <v>0</v>
      </c>
      <c r="L32" s="8">
        <v>0</v>
      </c>
      <c r="M32" s="8">
        <v>0</v>
      </c>
      <c r="N32" s="45">
        <v>0</v>
      </c>
      <c r="O32" s="45">
        <v>0</v>
      </c>
      <c r="P32" s="8"/>
    </row>
    <row r="33" spans="1:16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/>
      <c r="H33" s="12">
        <v>0</v>
      </c>
      <c r="I33" s="12">
        <v>0</v>
      </c>
      <c r="J33" s="12">
        <v>0</v>
      </c>
      <c r="K33" s="8">
        <v>0</v>
      </c>
      <c r="L33" s="8">
        <v>0</v>
      </c>
      <c r="M33" s="8">
        <v>0</v>
      </c>
      <c r="N33" s="45">
        <v>0</v>
      </c>
      <c r="O33" s="45">
        <v>0</v>
      </c>
      <c r="P33" s="8"/>
    </row>
    <row r="34" spans="1:16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/>
      <c r="H34" s="12">
        <v>1</v>
      </c>
      <c r="I34" s="12">
        <v>1</v>
      </c>
      <c r="J34" s="12">
        <v>1</v>
      </c>
      <c r="K34" s="8">
        <v>1</v>
      </c>
      <c r="L34" s="8">
        <v>1</v>
      </c>
      <c r="M34" s="8">
        <v>1</v>
      </c>
      <c r="N34" s="45">
        <v>1</v>
      </c>
      <c r="O34" s="45">
        <v>1</v>
      </c>
      <c r="P34" s="8"/>
    </row>
    <row r="35" spans="1:16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/>
      <c r="H35" s="8">
        <v>7</v>
      </c>
      <c r="I35" s="8">
        <v>7</v>
      </c>
      <c r="J35" s="8">
        <v>7</v>
      </c>
      <c r="K35" s="8">
        <v>7</v>
      </c>
      <c r="L35" s="8">
        <v>7</v>
      </c>
      <c r="M35" s="8">
        <v>7</v>
      </c>
      <c r="N35" s="45">
        <v>7</v>
      </c>
      <c r="O35" s="45">
        <v>7</v>
      </c>
      <c r="P35" s="8"/>
    </row>
    <row r="36" spans="1:16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/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45">
        <v>-174</v>
      </c>
      <c r="O36" s="45">
        <v>-174</v>
      </c>
      <c r="P36" s="8"/>
    </row>
    <row r="37" spans="1:16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/>
      <c r="H37" s="12" t="s">
        <v>16</v>
      </c>
      <c r="I37" s="12" t="s">
        <v>16</v>
      </c>
      <c r="J37" s="12" t="s">
        <v>16</v>
      </c>
      <c r="K37" s="8" t="s">
        <v>16</v>
      </c>
      <c r="L37" s="8" t="s">
        <v>16</v>
      </c>
      <c r="M37" s="8" t="s">
        <v>16</v>
      </c>
      <c r="N37" s="45" t="s">
        <v>16</v>
      </c>
      <c r="O37" s="45" t="s">
        <v>16</v>
      </c>
      <c r="P37" s="8"/>
    </row>
    <row r="38" spans="1:16">
      <c r="A38" s="15" t="s">
        <v>65</v>
      </c>
      <c r="B38" s="82">
        <v>-169.3</v>
      </c>
      <c r="C38" s="82">
        <v>-169.3</v>
      </c>
      <c r="D38" s="82">
        <v>-169.3</v>
      </c>
      <c r="E38" s="82">
        <v>-169.3</v>
      </c>
      <c r="F38" s="82">
        <v>-169.3</v>
      </c>
      <c r="G38" s="82"/>
      <c r="H38" s="82">
        <v>-999</v>
      </c>
      <c r="I38" s="82">
        <v>-999</v>
      </c>
      <c r="J38" s="82">
        <v>-999</v>
      </c>
      <c r="K38" s="82">
        <v>-999</v>
      </c>
      <c r="L38" s="82">
        <v>-999</v>
      </c>
      <c r="M38" s="82">
        <v>-999</v>
      </c>
      <c r="N38" s="83">
        <v>-999</v>
      </c>
      <c r="O38" s="83">
        <v>-999</v>
      </c>
      <c r="P38" s="82"/>
    </row>
    <row r="39" spans="1:16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/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88" t="s">
        <v>16</v>
      </c>
      <c r="O39" s="88" t="s">
        <v>16</v>
      </c>
      <c r="P39" s="9"/>
    </row>
    <row r="40" spans="1:16" ht="27.6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-164.98918835931039</v>
      </c>
      <c r="F40" s="12">
        <f>10*LOG10(10^((F35+F36)/10)+10^(F38/10))</f>
        <v>-164.98918835931039</v>
      </c>
      <c r="G40" s="12"/>
      <c r="H40" s="12">
        <f t="shared" ref="H40:O40" si="6">10*LOG10(10^((H35+H36)/10)+10^(H38/10))</f>
        <v>-167.00000000000003</v>
      </c>
      <c r="I40" s="12">
        <f t="shared" si="6"/>
        <v>-167.00000000000003</v>
      </c>
      <c r="J40" s="12">
        <f t="shared" si="6"/>
        <v>-167.00000000000003</v>
      </c>
      <c r="K40" s="8">
        <f t="shared" si="6"/>
        <v>-167.00000000000003</v>
      </c>
      <c r="L40" s="8">
        <f t="shared" si="6"/>
        <v>-167.00000000000003</v>
      </c>
      <c r="M40" s="8">
        <f t="shared" si="6"/>
        <v>-167.00000000000003</v>
      </c>
      <c r="N40" s="45">
        <f t="shared" si="6"/>
        <v>-167.00000000000003</v>
      </c>
      <c r="O40" s="45">
        <f t="shared" si="6"/>
        <v>-167.00000000000003</v>
      </c>
      <c r="P40" s="8"/>
    </row>
    <row r="41" spans="1:16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/>
      <c r="H41" s="12" t="s">
        <v>16</v>
      </c>
      <c r="I41" s="12" t="s">
        <v>16</v>
      </c>
      <c r="J41" s="12" t="s">
        <v>16</v>
      </c>
      <c r="K41" s="8" t="s">
        <v>16</v>
      </c>
      <c r="L41" s="8" t="s">
        <v>16</v>
      </c>
      <c r="M41" s="8" t="s">
        <v>16</v>
      </c>
      <c r="N41" s="45" t="s">
        <v>16</v>
      </c>
      <c r="O41" s="45" t="s">
        <v>16</v>
      </c>
      <c r="P41" s="8"/>
    </row>
    <row r="42" spans="1:16">
      <c r="A42" s="28" t="s">
        <v>70</v>
      </c>
      <c r="B42" s="16">
        <f>20*360*1000</f>
        <v>7200000</v>
      </c>
      <c r="C42" s="16">
        <f t="shared" ref="C42:D42" si="7">20*360*1000</f>
        <v>7200000</v>
      </c>
      <c r="D42" s="16">
        <f t="shared" si="7"/>
        <v>7200000</v>
      </c>
      <c r="E42" s="16">
        <f>20*360*1000</f>
        <v>7200000</v>
      </c>
      <c r="F42" s="16">
        <f t="shared" ref="F42" si="8">20*360*1000</f>
        <v>7200000</v>
      </c>
      <c r="G42" s="16"/>
      <c r="H42" s="16">
        <f>20*360*1000</f>
        <v>7200000</v>
      </c>
      <c r="I42" s="16">
        <f t="shared" ref="I42:J42" si="9">20*360*1000</f>
        <v>7200000</v>
      </c>
      <c r="J42" s="16">
        <f t="shared" si="9"/>
        <v>7200000</v>
      </c>
      <c r="K42" s="16">
        <f>20*360*1000</f>
        <v>7200000</v>
      </c>
      <c r="L42" s="16">
        <f t="shared" ref="L42:M42" si="10">20*360*1000</f>
        <v>7200000</v>
      </c>
      <c r="M42" s="16">
        <f t="shared" si="10"/>
        <v>7200000</v>
      </c>
      <c r="N42" s="52">
        <f>20*360*1000</f>
        <v>7200000</v>
      </c>
      <c r="O42" s="52">
        <f t="shared" ref="O42" si="11">20*360*1000</f>
        <v>7200000</v>
      </c>
      <c r="P42" s="16"/>
    </row>
    <row r="43" spans="1:16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/>
      <c r="H43" s="12" t="s">
        <v>16</v>
      </c>
      <c r="I43" s="12" t="s">
        <v>16</v>
      </c>
      <c r="J43" s="12" t="s">
        <v>16</v>
      </c>
      <c r="K43" s="8" t="s">
        <v>16</v>
      </c>
      <c r="L43" s="8" t="s">
        <v>16</v>
      </c>
      <c r="M43" s="8" t="s">
        <v>16</v>
      </c>
      <c r="N43" s="45" t="s">
        <v>16</v>
      </c>
      <c r="O43" s="45" t="s">
        <v>16</v>
      </c>
      <c r="P43" s="8"/>
    </row>
    <row r="44" spans="1:16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  <c r="E44" s="12">
        <f>E40+10*LOG10(E42)</f>
        <v>-96.415863394997714</v>
      </c>
      <c r="F44" s="12">
        <f>F40+10*LOG10(F42)</f>
        <v>-96.415863394997714</v>
      </c>
      <c r="G44" s="12"/>
      <c r="H44" s="12">
        <f t="shared" ref="H44:O44" si="12">H40+10*LOG10(H42)</f>
        <v>-98.426675035687353</v>
      </c>
      <c r="I44" s="12">
        <f t="shared" si="12"/>
        <v>-98.426675035687353</v>
      </c>
      <c r="J44" s="12">
        <f t="shared" si="12"/>
        <v>-98.426675035687353</v>
      </c>
      <c r="K44" s="8">
        <f t="shared" si="12"/>
        <v>-98.426675035687353</v>
      </c>
      <c r="L44" s="8">
        <f t="shared" si="12"/>
        <v>-98.426675035687353</v>
      </c>
      <c r="M44" s="8">
        <f t="shared" si="12"/>
        <v>-98.426675035687353</v>
      </c>
      <c r="N44" s="45">
        <f t="shared" si="12"/>
        <v>-98.426675035687353</v>
      </c>
      <c r="O44" s="45">
        <f t="shared" si="12"/>
        <v>-98.426675035687353</v>
      </c>
      <c r="P44" s="8"/>
    </row>
    <row r="45" spans="1:16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/>
      <c r="H45" s="12" t="s">
        <v>16</v>
      </c>
      <c r="I45" s="12" t="s">
        <v>16</v>
      </c>
      <c r="J45" s="12" t="s">
        <v>16</v>
      </c>
      <c r="K45" s="8" t="s">
        <v>16</v>
      </c>
      <c r="L45" s="8" t="s">
        <v>16</v>
      </c>
      <c r="M45" s="8" t="s">
        <v>16</v>
      </c>
      <c r="N45" s="45" t="s">
        <v>16</v>
      </c>
      <c r="O45" s="45" t="s">
        <v>16</v>
      </c>
      <c r="P45" s="8"/>
    </row>
    <row r="46" spans="1:16">
      <c r="A46" s="28" t="s">
        <v>75</v>
      </c>
      <c r="B46" s="16">
        <v>-11.6</v>
      </c>
      <c r="C46" s="16">
        <v>-9.1999999999999993</v>
      </c>
      <c r="D46" s="16">
        <v>-6.11</v>
      </c>
      <c r="E46" s="16">
        <v>-13.08</v>
      </c>
      <c r="F46" s="16">
        <v>-11.03</v>
      </c>
      <c r="G46" s="16"/>
      <c r="H46" s="16">
        <v>-11.5</v>
      </c>
      <c r="I46" s="16">
        <v>-8.5</v>
      </c>
      <c r="J46" s="16">
        <v>-5.5</v>
      </c>
      <c r="K46" s="16">
        <v>-11</v>
      </c>
      <c r="L46" s="16">
        <v>-8</v>
      </c>
      <c r="M46" s="16">
        <v>-4.0999999999999996</v>
      </c>
      <c r="N46" s="52">
        <v>-11.236000000000001</v>
      </c>
      <c r="O46" s="52">
        <v>-11.236000000000001</v>
      </c>
      <c r="P46" s="16"/>
    </row>
    <row r="47" spans="1:16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/>
      <c r="H47" s="12">
        <v>2</v>
      </c>
      <c r="I47" s="12">
        <v>2</v>
      </c>
      <c r="J47" s="12">
        <v>2</v>
      </c>
      <c r="K47" s="8">
        <v>2</v>
      </c>
      <c r="L47" s="8">
        <v>2</v>
      </c>
      <c r="M47" s="8">
        <v>2</v>
      </c>
      <c r="N47" s="45">
        <v>2</v>
      </c>
      <c r="O47" s="45">
        <v>2</v>
      </c>
      <c r="P47" s="8"/>
    </row>
    <row r="48" spans="1:16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/>
      <c r="H48" s="12" t="s">
        <v>16</v>
      </c>
      <c r="I48" s="12" t="s">
        <v>16</v>
      </c>
      <c r="J48" s="12" t="s">
        <v>16</v>
      </c>
      <c r="K48" s="8" t="s">
        <v>16</v>
      </c>
      <c r="L48" s="8" t="s">
        <v>16</v>
      </c>
      <c r="M48" s="8" t="s">
        <v>16</v>
      </c>
      <c r="N48" s="45" t="s">
        <v>16</v>
      </c>
      <c r="O48" s="45" t="s">
        <v>16</v>
      </c>
      <c r="P48" s="8"/>
    </row>
    <row r="49" spans="1:16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/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45">
        <v>0</v>
      </c>
      <c r="O49" s="45">
        <v>0</v>
      </c>
      <c r="P49" s="8"/>
    </row>
    <row r="50" spans="1:16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/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88" t="s">
        <v>16</v>
      </c>
      <c r="O50" s="88" t="s">
        <v>16</v>
      </c>
      <c r="P50" s="9"/>
    </row>
    <row r="51" spans="1:16" ht="27.6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  <c r="E51" s="12">
        <f>E44+E46+E47-E49</f>
        <v>-107.49586339499771</v>
      </c>
      <c r="F51" s="12">
        <f>F44+F46+F47-F49</f>
        <v>-105.44586339499772</v>
      </c>
      <c r="G51" s="12"/>
      <c r="H51" s="12">
        <f t="shared" ref="H51:O51" si="13">H44+H46+H47-H49</f>
        <v>-107.92667503568735</v>
      </c>
      <c r="I51" s="12">
        <f t="shared" si="13"/>
        <v>-104.92667503568735</v>
      </c>
      <c r="J51" s="12">
        <f t="shared" si="13"/>
        <v>-101.92667503568735</v>
      </c>
      <c r="K51" s="8">
        <f t="shared" si="13"/>
        <v>-107.42667503568735</v>
      </c>
      <c r="L51" s="8">
        <f t="shared" si="13"/>
        <v>-104.42667503568735</v>
      </c>
      <c r="M51" s="8">
        <f t="shared" si="13"/>
        <v>-100.52667503568735</v>
      </c>
      <c r="N51" s="45">
        <f t="shared" si="13"/>
        <v>-107.66267503568736</v>
      </c>
      <c r="O51" s="45">
        <f t="shared" si="13"/>
        <v>-107.66267503568736</v>
      </c>
      <c r="P51" s="8"/>
    </row>
    <row r="52" spans="1:16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24"/>
      <c r="H52" s="24" t="s">
        <v>16</v>
      </c>
      <c r="I52" s="24" t="s">
        <v>16</v>
      </c>
      <c r="J52" s="24" t="s">
        <v>16</v>
      </c>
      <c r="K52" s="85" t="s">
        <v>16</v>
      </c>
      <c r="L52" s="85" t="s">
        <v>16</v>
      </c>
      <c r="M52" s="85" t="s">
        <v>16</v>
      </c>
      <c r="N52" s="89" t="s">
        <v>16</v>
      </c>
      <c r="O52" s="89" t="s">
        <v>16</v>
      </c>
      <c r="P52" s="85"/>
    </row>
    <row r="53" spans="1:16" ht="27.6">
      <c r="A53" s="29" t="s">
        <v>85</v>
      </c>
      <c r="B53" s="22">
        <f>B26+B30+B33-B34-B51</f>
        <v>160.76190068970607</v>
      </c>
      <c r="C53" s="22">
        <f t="shared" ref="C53:D53" si="14">C26+C30+C33-C34-C51</f>
        <v>155.36190068970609</v>
      </c>
      <c r="D53" s="22">
        <f t="shared" si="14"/>
        <v>152.27190068970609</v>
      </c>
      <c r="E53" s="22">
        <f>E26+E30+E33-E34-E51</f>
        <v>163.84040090650703</v>
      </c>
      <c r="F53" s="22">
        <f t="shared" ref="F53" si="15">F26+F30+F33-F34-F51</f>
        <v>158.79040090650705</v>
      </c>
      <c r="G53" s="22"/>
      <c r="H53" s="22">
        <f>H26+H30+H33-H34-H51</f>
        <v>166.27121254719668</v>
      </c>
      <c r="I53" s="22">
        <f t="shared" ref="I53:J53" si="16">I26+I30+I33-I34-I51</f>
        <v>160.27121254719668</v>
      </c>
      <c r="J53" s="22">
        <f t="shared" si="16"/>
        <v>157.27121254719668</v>
      </c>
      <c r="K53" s="22">
        <f>K26+K30+K33-K34-K51</f>
        <v>163.77121254719668</v>
      </c>
      <c r="L53" s="22">
        <f t="shared" ref="L53:M53" si="17">L26+L30+L33-L34-L51</f>
        <v>157.77121254719668</v>
      </c>
      <c r="M53" s="22">
        <f t="shared" si="17"/>
        <v>153.87121254719665</v>
      </c>
      <c r="N53" s="58">
        <f>N26+N30+N33-N34-N51</f>
        <v>165.71721254719665</v>
      </c>
      <c r="O53" s="58">
        <f t="shared" ref="O53" si="18">O26+O30+O33-O34-O51</f>
        <v>162.71721254719665</v>
      </c>
      <c r="P53" s="22"/>
    </row>
    <row r="54" spans="1:16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51"/>
      <c r="O54" s="51"/>
      <c r="P54" s="13"/>
    </row>
    <row r="55" spans="1:16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/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3">
        <v>7</v>
      </c>
      <c r="O55" s="83">
        <v>7</v>
      </c>
      <c r="P55" s="82"/>
    </row>
    <row r="56" spans="1:16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25"/>
      <c r="H56" s="25" t="s">
        <v>16</v>
      </c>
      <c r="I56" s="25" t="s">
        <v>16</v>
      </c>
      <c r="J56" s="25" t="s">
        <v>16</v>
      </c>
      <c r="K56" s="9" t="s">
        <v>16</v>
      </c>
      <c r="L56" s="9" t="s">
        <v>16</v>
      </c>
      <c r="M56" s="9" t="s">
        <v>16</v>
      </c>
      <c r="N56" s="88" t="s">
        <v>16</v>
      </c>
      <c r="O56" s="88" t="s">
        <v>16</v>
      </c>
      <c r="P56" s="9"/>
    </row>
    <row r="57" spans="1:16" ht="27.6">
      <c r="A57" s="30" t="s">
        <v>90</v>
      </c>
      <c r="B57" s="82">
        <v>7.56</v>
      </c>
      <c r="C57" s="82">
        <v>7.56</v>
      </c>
      <c r="D57" s="82">
        <v>7.56</v>
      </c>
      <c r="E57" s="83">
        <v>7.56</v>
      </c>
      <c r="F57" s="83">
        <v>7.56</v>
      </c>
      <c r="G57" s="82"/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3">
        <v>4.4800000000000004</v>
      </c>
      <c r="O57" s="83">
        <v>4.4800000000000004</v>
      </c>
      <c r="P57" s="82"/>
    </row>
    <row r="58" spans="1:16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/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3">
        <v>0</v>
      </c>
      <c r="O58" s="83">
        <v>0</v>
      </c>
      <c r="P58" s="82"/>
    </row>
    <row r="59" spans="1:16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/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3">
        <v>26.25</v>
      </c>
      <c r="O59" s="83">
        <v>26.25</v>
      </c>
      <c r="P59" s="82"/>
    </row>
    <row r="60" spans="1:16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/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3">
        <v>0</v>
      </c>
      <c r="O60" s="83">
        <v>0</v>
      </c>
      <c r="P60" s="82"/>
    </row>
    <row r="61" spans="1:16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24"/>
      <c r="H61" s="24" t="s">
        <v>16</v>
      </c>
      <c r="I61" s="24" t="s">
        <v>16</v>
      </c>
      <c r="J61" s="24" t="s">
        <v>16</v>
      </c>
      <c r="K61" s="85" t="s">
        <v>16</v>
      </c>
      <c r="L61" s="85" t="s">
        <v>16</v>
      </c>
      <c r="M61" s="85" t="s">
        <v>16</v>
      </c>
      <c r="N61" s="89" t="s">
        <v>16</v>
      </c>
      <c r="O61" s="89" t="s">
        <v>16</v>
      </c>
      <c r="P61" s="85"/>
    </row>
    <row r="62" spans="1:16" ht="27.6">
      <c r="A62" s="29" t="s">
        <v>109</v>
      </c>
      <c r="B62" s="22">
        <f>B53-B57+B58-B59+B60</f>
        <v>126.95190068970606</v>
      </c>
      <c r="C62" s="22">
        <f t="shared" ref="C62:D62" si="19">C53-C57+C58-C59+C60</f>
        <v>121.55190068970609</v>
      </c>
      <c r="D62" s="22">
        <f t="shared" si="19"/>
        <v>118.46190068970608</v>
      </c>
      <c r="E62" s="22">
        <f>E53-E57+E58-E59+E60</f>
        <v>130.03040090650703</v>
      </c>
      <c r="F62" s="22">
        <f t="shared" ref="F62" si="20">F53-F57+F58-F59+F60</f>
        <v>124.98040090650704</v>
      </c>
      <c r="G62" s="22"/>
      <c r="H62" s="22">
        <f>H53-H57+H58-H59+H60</f>
        <v>135.54121254719669</v>
      </c>
      <c r="I62" s="22">
        <f t="shared" ref="I62:J62" si="21">I53-I57+I58-I59+I60</f>
        <v>129.54121254719669</v>
      </c>
      <c r="J62" s="22">
        <f t="shared" si="21"/>
        <v>126.54121254719669</v>
      </c>
      <c r="K62" s="22">
        <f>K53-K57+K58-K59+K60</f>
        <v>133.04121254719669</v>
      </c>
      <c r="L62" s="22">
        <f t="shared" ref="L62:M62" si="22">L53-L57+L58-L59+L60</f>
        <v>127.04121254719669</v>
      </c>
      <c r="M62" s="22">
        <f t="shared" si="22"/>
        <v>123.14121254719666</v>
      </c>
      <c r="N62" s="58">
        <f>N53-N57+N58-N59+N60</f>
        <v>134.98721254719666</v>
      </c>
      <c r="O62" s="58">
        <f t="shared" ref="O62" si="23">O53-O57+O58-O59+O60</f>
        <v>131.98721254719666</v>
      </c>
      <c r="P62" s="22"/>
    </row>
    <row r="63" spans="1:16">
      <c r="C63" s="2"/>
      <c r="D63" s="2"/>
      <c r="E63" s="2"/>
      <c r="F63" s="2"/>
      <c r="G63" s="2"/>
      <c r="I63" s="2"/>
      <c r="J63" s="2"/>
      <c r="L63" s="2"/>
      <c r="M63" s="2"/>
      <c r="O63" s="90"/>
      <c r="P63" s="2"/>
    </row>
    <row r="64" spans="1:16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24"/>
      <c r="H64" s="24" t="s">
        <v>16</v>
      </c>
      <c r="I64" s="24" t="s">
        <v>16</v>
      </c>
      <c r="J64" s="24" t="s">
        <v>16</v>
      </c>
      <c r="K64" s="85" t="s">
        <v>16</v>
      </c>
      <c r="L64" s="85" t="s">
        <v>16</v>
      </c>
      <c r="M64" s="85" t="s">
        <v>16</v>
      </c>
      <c r="N64" s="89" t="s">
        <v>16</v>
      </c>
      <c r="O64" s="89" t="s">
        <v>16</v>
      </c>
      <c r="P64" s="85"/>
    </row>
    <row r="65" spans="1:16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  <c r="E65" s="22">
        <f>E17-E23-E51+E21+E33</f>
        <v>155.0691883593104</v>
      </c>
      <c r="F65" s="22">
        <f>F17-F23-F51+F21+F33</f>
        <v>153.01918835931042</v>
      </c>
      <c r="G65" s="22"/>
      <c r="H65" s="22">
        <f t="shared" ref="H65:O65" si="24">H17-H23-H51+H21+H33</f>
        <v>157.50000000000006</v>
      </c>
      <c r="I65" s="22">
        <f t="shared" si="24"/>
        <v>154.50000000000006</v>
      </c>
      <c r="J65" s="22">
        <f t="shared" si="24"/>
        <v>151.50000000000006</v>
      </c>
      <c r="K65" s="22">
        <f t="shared" si="24"/>
        <v>155.00000000000006</v>
      </c>
      <c r="L65" s="22">
        <f t="shared" si="24"/>
        <v>152.00000000000006</v>
      </c>
      <c r="M65" s="22">
        <f t="shared" si="24"/>
        <v>148.10000000000002</v>
      </c>
      <c r="N65" s="58">
        <f t="shared" si="24"/>
        <v>161.23600000000005</v>
      </c>
      <c r="O65" s="58">
        <f t="shared" si="24"/>
        <v>161.23600000000005</v>
      </c>
      <c r="P65" s="22"/>
    </row>
  </sheetData>
  <mergeCells count="5"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5"/>
  <sheetViews>
    <sheetView workbookViewId="0">
      <pane xSplit="1" ySplit="1" topLeftCell="G2" activePane="bottomRight" state="frozen"/>
      <selection pane="topRight"/>
      <selection pane="bottomLeft"/>
      <selection pane="bottomRight" activeCell="L1" sqref="L1:M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7" width="18" style="1" customWidth="1"/>
    <col min="8" max="8" width="15.59765625" style="2" customWidth="1"/>
    <col min="9" max="9" width="15.59765625" style="1" customWidth="1"/>
    <col min="10" max="10" width="15.59765625" style="2" customWidth="1"/>
    <col min="11" max="11" width="15.59765625" style="1" customWidth="1"/>
    <col min="12" max="12" width="15.59765625" style="90" customWidth="1"/>
    <col min="13" max="13" width="15.59765625" style="1" customWidth="1"/>
    <col min="14" max="16384" width="9" style="1"/>
  </cols>
  <sheetData>
    <row r="1" spans="1:13" ht="14.25" customHeight="1">
      <c r="A1" s="3"/>
      <c r="B1" s="96" t="s">
        <v>119</v>
      </c>
      <c r="C1" s="96"/>
      <c r="D1" s="96" t="s">
        <v>129</v>
      </c>
      <c r="E1" s="96"/>
      <c r="F1" s="96" t="s">
        <v>131</v>
      </c>
      <c r="G1" s="96"/>
      <c r="H1" s="96" t="s">
        <v>140</v>
      </c>
      <c r="I1" s="96"/>
      <c r="J1" s="96" t="s">
        <v>144</v>
      </c>
      <c r="K1" s="96"/>
      <c r="L1" s="98" t="s">
        <v>147</v>
      </c>
      <c r="M1" s="98"/>
    </row>
    <row r="2" spans="1:1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5" t="s">
        <v>102</v>
      </c>
      <c r="G2" s="6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87" t="s">
        <v>102</v>
      </c>
      <c r="M2" s="86" t="s">
        <v>110</v>
      </c>
    </row>
    <row r="3" spans="1:1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>
        <v>2.6</v>
      </c>
      <c r="H3" s="8">
        <v>2.6</v>
      </c>
      <c r="I3" s="8">
        <v>2.6</v>
      </c>
      <c r="J3" s="8">
        <v>2.6</v>
      </c>
      <c r="K3" s="8">
        <v>2.6</v>
      </c>
      <c r="L3" s="45">
        <v>2.6</v>
      </c>
      <c r="M3" s="45">
        <v>2.6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  <c r="J4" s="8">
        <v>100</v>
      </c>
      <c r="K4" s="8">
        <v>100</v>
      </c>
      <c r="L4" s="45">
        <v>100</v>
      </c>
      <c r="M4" s="45">
        <v>100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88" t="s">
        <v>16</v>
      </c>
      <c r="M5" s="88" t="s">
        <v>16</v>
      </c>
    </row>
    <row r="6" spans="1:1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88" t="s">
        <v>16</v>
      </c>
      <c r="M6" s="88" t="s">
        <v>16</v>
      </c>
    </row>
    <row r="7" spans="1:13" ht="27.6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  <c r="J7" s="11">
        <v>0.01</v>
      </c>
      <c r="K7" s="11">
        <v>0.01</v>
      </c>
      <c r="L7" s="50">
        <v>0.01</v>
      </c>
      <c r="M7" s="50">
        <v>0.01</v>
      </c>
    </row>
    <row r="8" spans="1:1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88" t="s">
        <v>16</v>
      </c>
      <c r="M8" s="88" t="s">
        <v>16</v>
      </c>
    </row>
    <row r="9" spans="1:13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12" t="s">
        <v>22</v>
      </c>
      <c r="I9" s="12" t="s">
        <v>22</v>
      </c>
      <c r="J9" s="8" t="s">
        <v>22</v>
      </c>
      <c r="K9" s="8" t="s">
        <v>22</v>
      </c>
      <c r="L9" s="45" t="s">
        <v>22</v>
      </c>
      <c r="M9" s="45" t="s">
        <v>22</v>
      </c>
    </row>
    <row r="10" spans="1:13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12">
        <v>3</v>
      </c>
      <c r="I10" s="12">
        <v>3</v>
      </c>
      <c r="J10" s="8">
        <v>3</v>
      </c>
      <c r="K10" s="8">
        <v>3</v>
      </c>
      <c r="L10" s="45">
        <v>3</v>
      </c>
      <c r="M10" s="45">
        <v>3</v>
      </c>
    </row>
    <row r="11" spans="1:13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51"/>
      <c r="M11" s="51"/>
    </row>
    <row r="12" spans="1:1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45">
        <v>1</v>
      </c>
      <c r="M12" s="45">
        <v>1</v>
      </c>
    </row>
    <row r="13" spans="1:13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  <c r="F13" s="12">
        <v>64</v>
      </c>
      <c r="G13" s="12">
        <v>64</v>
      </c>
      <c r="H13" s="12">
        <v>64</v>
      </c>
      <c r="I13" s="12">
        <v>64</v>
      </c>
      <c r="J13" s="8">
        <v>64</v>
      </c>
      <c r="K13" s="8">
        <v>64</v>
      </c>
      <c r="L13" s="45">
        <v>64</v>
      </c>
      <c r="M13" s="45">
        <v>64</v>
      </c>
    </row>
    <row r="14" spans="1:13">
      <c r="A14" s="14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12">
        <v>1</v>
      </c>
      <c r="I14" s="12">
        <v>1</v>
      </c>
      <c r="J14" s="8">
        <v>1</v>
      </c>
      <c r="K14" s="8">
        <v>1</v>
      </c>
      <c r="L14" s="45">
        <v>1</v>
      </c>
      <c r="M14" s="45">
        <v>1</v>
      </c>
    </row>
    <row r="15" spans="1:13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12" t="s">
        <v>16</v>
      </c>
      <c r="I15" s="12" t="s">
        <v>16</v>
      </c>
      <c r="J15" s="8" t="s">
        <v>16</v>
      </c>
      <c r="K15" s="8" t="s">
        <v>16</v>
      </c>
      <c r="L15" s="45" t="s">
        <v>16</v>
      </c>
      <c r="M15" s="45" t="s">
        <v>16</v>
      </c>
    </row>
    <row r="16" spans="1:1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  <c r="J16" s="8">
        <v>23</v>
      </c>
      <c r="K16" s="8">
        <v>23</v>
      </c>
      <c r="L16" s="45">
        <v>23</v>
      </c>
      <c r="M16" s="45">
        <v>23</v>
      </c>
    </row>
    <row r="17" spans="1:1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  <c r="J17" s="8">
        <v>23</v>
      </c>
      <c r="K17" s="8">
        <v>23</v>
      </c>
      <c r="L17" s="45">
        <v>23</v>
      </c>
      <c r="M17" s="45">
        <v>23</v>
      </c>
    </row>
    <row r="18" spans="1:13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8">
        <f t="shared" si="1"/>
        <v>0</v>
      </c>
      <c r="K18" s="8">
        <f t="shared" si="1"/>
        <v>-3</v>
      </c>
      <c r="L18" s="45">
        <f t="shared" si="1"/>
        <v>0</v>
      </c>
      <c r="M18" s="45">
        <f t="shared" si="1"/>
        <v>-3</v>
      </c>
    </row>
    <row r="19" spans="1:1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  <c r="J19" s="8">
        <v>0</v>
      </c>
      <c r="K19" s="8">
        <v>-3</v>
      </c>
      <c r="L19" s="45">
        <v>0</v>
      </c>
      <c r="M19" s="45">
        <v>-3</v>
      </c>
    </row>
    <row r="20" spans="1:13" ht="41.4">
      <c r="A20" s="14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12">
        <v>0</v>
      </c>
      <c r="I20" s="12">
        <v>0</v>
      </c>
      <c r="J20" s="8">
        <v>0</v>
      </c>
      <c r="K20" s="8">
        <v>0</v>
      </c>
      <c r="L20" s="45">
        <v>0</v>
      </c>
      <c r="M20" s="45">
        <v>0</v>
      </c>
    </row>
    <row r="21" spans="1:13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12">
        <v>0</v>
      </c>
      <c r="I21" s="12">
        <v>0</v>
      </c>
      <c r="J21" s="8">
        <v>0</v>
      </c>
      <c r="K21" s="8">
        <v>0</v>
      </c>
      <c r="L21" s="45">
        <v>0</v>
      </c>
      <c r="M21" s="45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45">
        <v>0</v>
      </c>
      <c r="M22" s="45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45">
        <v>0</v>
      </c>
      <c r="M23" s="45">
        <v>0</v>
      </c>
    </row>
    <row r="24" spans="1:1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45">
        <v>1</v>
      </c>
      <c r="M24" s="45">
        <v>1</v>
      </c>
    </row>
    <row r="25" spans="1:13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8">
        <f t="shared" si="2"/>
        <v>22</v>
      </c>
      <c r="G25" s="8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45">
        <f t="shared" si="3"/>
        <v>22</v>
      </c>
      <c r="M25" s="45">
        <f t="shared" si="3"/>
        <v>19</v>
      </c>
    </row>
    <row r="26" spans="1:1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88" t="s">
        <v>16</v>
      </c>
      <c r="M26" s="88" t="s">
        <v>16</v>
      </c>
    </row>
    <row r="27" spans="1:13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51"/>
      <c r="M27" s="51"/>
    </row>
    <row r="28" spans="1:13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  <c r="F28" s="12">
        <v>192</v>
      </c>
      <c r="G28" s="12">
        <v>192</v>
      </c>
      <c r="H28" s="12">
        <v>192</v>
      </c>
      <c r="I28" s="12">
        <v>192</v>
      </c>
      <c r="J28" s="8">
        <v>192</v>
      </c>
      <c r="K28" s="8">
        <v>192</v>
      </c>
      <c r="L28" s="45">
        <v>192</v>
      </c>
      <c r="M28" s="45">
        <v>192</v>
      </c>
    </row>
    <row r="29" spans="1:13">
      <c r="A29" s="15" t="s">
        <v>54</v>
      </c>
      <c r="B29" s="82">
        <v>2</v>
      </c>
      <c r="C29" s="82">
        <v>2</v>
      </c>
      <c r="D29" s="82">
        <v>2</v>
      </c>
      <c r="E29" s="82">
        <v>2</v>
      </c>
      <c r="F29" s="82">
        <v>4</v>
      </c>
      <c r="G29" s="82">
        <v>4</v>
      </c>
      <c r="H29" s="82">
        <v>4</v>
      </c>
      <c r="I29" s="82">
        <v>4</v>
      </c>
      <c r="J29" s="82">
        <v>4</v>
      </c>
      <c r="K29" s="82">
        <v>4</v>
      </c>
      <c r="L29" s="83">
        <v>4</v>
      </c>
      <c r="M29" s="83">
        <v>4</v>
      </c>
    </row>
    <row r="30" spans="1:13" ht="41.4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8">
        <f t="shared" si="4"/>
        <v>12.771212547196624</v>
      </c>
      <c r="E30" s="8">
        <f t="shared" si="4"/>
        <v>12.771212547196624</v>
      </c>
      <c r="F30" s="12">
        <f t="shared" si="4"/>
        <v>12.771212547196624</v>
      </c>
      <c r="G30" s="12">
        <f t="shared" si="4"/>
        <v>12.771212547196624</v>
      </c>
      <c r="H30" s="12">
        <f t="shared" ref="H30:M30" si="5">H31+10*LOG10(H28/H13)-H32</f>
        <v>12.771212547196624</v>
      </c>
      <c r="I30" s="12">
        <f t="shared" si="5"/>
        <v>12.771212547196624</v>
      </c>
      <c r="J30" s="8">
        <f t="shared" si="5"/>
        <v>8.7712125471966242</v>
      </c>
      <c r="K30" s="8">
        <f t="shared" si="5"/>
        <v>8.7712125471966242</v>
      </c>
      <c r="L30" s="45">
        <f t="shared" si="5"/>
        <v>8.4812125471966233</v>
      </c>
      <c r="M30" s="45">
        <f t="shared" si="5"/>
        <v>8.4812125471966233</v>
      </c>
    </row>
    <row r="31" spans="1:1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  <c r="J31" s="8">
        <v>8</v>
      </c>
      <c r="K31" s="8">
        <v>8</v>
      </c>
      <c r="L31" s="45">
        <v>8</v>
      </c>
      <c r="M31" s="45">
        <v>8</v>
      </c>
    </row>
    <row r="32" spans="1:13" ht="41.4">
      <c r="A32" s="15" t="s">
        <v>58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4</v>
      </c>
      <c r="K32" s="82">
        <v>4</v>
      </c>
      <c r="L32" s="83">
        <v>4.29</v>
      </c>
      <c r="M32" s="83">
        <v>4.29</v>
      </c>
    </row>
    <row r="33" spans="1:13" ht="27.6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  <c r="F33" s="16">
        <v>12</v>
      </c>
      <c r="G33" s="16">
        <v>12</v>
      </c>
      <c r="H33" s="16">
        <v>8</v>
      </c>
      <c r="I33" s="16">
        <v>8</v>
      </c>
      <c r="J33" s="16">
        <v>9</v>
      </c>
      <c r="K33" s="16">
        <v>9</v>
      </c>
      <c r="L33" s="52">
        <v>12</v>
      </c>
      <c r="M33" s="52">
        <v>12</v>
      </c>
    </row>
    <row r="34" spans="1:1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  <c r="J34" s="8">
        <v>3</v>
      </c>
      <c r="K34" s="8">
        <v>3</v>
      </c>
      <c r="L34" s="45">
        <v>3</v>
      </c>
      <c r="M34" s="45">
        <v>3</v>
      </c>
    </row>
    <row r="35" spans="1:1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  <c r="L35" s="45">
        <v>5</v>
      </c>
      <c r="M35" s="45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8">
        <v>-174</v>
      </c>
      <c r="L36" s="45">
        <v>-174</v>
      </c>
      <c r="M36" s="45">
        <v>-174</v>
      </c>
    </row>
    <row r="37" spans="1:13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  <c r="F37" s="82">
        <v>-161.69999999999999</v>
      </c>
      <c r="G37" s="82">
        <v>-161.69999999999999</v>
      </c>
      <c r="H37" s="82">
        <v>-999</v>
      </c>
      <c r="I37" s="82">
        <v>-999</v>
      </c>
      <c r="J37" s="82">
        <v>-999</v>
      </c>
      <c r="K37" s="82">
        <v>-999</v>
      </c>
      <c r="L37" s="83">
        <v>-999</v>
      </c>
      <c r="M37" s="83">
        <v>-999</v>
      </c>
    </row>
    <row r="38" spans="1:13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12" t="s">
        <v>16</v>
      </c>
      <c r="I38" s="12" t="s">
        <v>16</v>
      </c>
      <c r="J38" s="8" t="s">
        <v>16</v>
      </c>
      <c r="K38" s="8" t="s">
        <v>16</v>
      </c>
      <c r="L38" s="45" t="s">
        <v>16</v>
      </c>
      <c r="M38" s="45" t="s">
        <v>16</v>
      </c>
    </row>
    <row r="39" spans="1:13" ht="27.6">
      <c r="A39" s="7" t="s">
        <v>66</v>
      </c>
      <c r="B39" s="12">
        <f t="shared" ref="B39:G39" si="6">10*LOG10(10^((B35+B36)/10)+10^(B37/10))</f>
        <v>-160.9583889004532</v>
      </c>
      <c r="C39" s="12">
        <f t="shared" si="6"/>
        <v>-160.9583889004532</v>
      </c>
      <c r="D39" s="8">
        <f t="shared" si="6"/>
        <v>-164.03352307536667</v>
      </c>
      <c r="E39" s="8">
        <f t="shared" si="6"/>
        <v>-164.03352307536667</v>
      </c>
      <c r="F39" s="12">
        <f t="shared" si="6"/>
        <v>-160.9583889004532</v>
      </c>
      <c r="G39" s="12">
        <f t="shared" si="6"/>
        <v>-160.9583889004532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8">
        <f t="shared" si="7"/>
        <v>-169.00000000000003</v>
      </c>
      <c r="K39" s="8">
        <f t="shared" si="7"/>
        <v>-169.00000000000003</v>
      </c>
      <c r="L39" s="45">
        <f t="shared" si="7"/>
        <v>-169.00000000000003</v>
      </c>
      <c r="M39" s="45">
        <f t="shared" si="7"/>
        <v>-169.00000000000003</v>
      </c>
    </row>
    <row r="40" spans="1:13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88" t="s">
        <v>16</v>
      </c>
      <c r="M40" s="88" t="s">
        <v>16</v>
      </c>
    </row>
    <row r="41" spans="1:13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  <c r="F41" s="82">
        <f>12*12*15*1000</f>
        <v>2160000</v>
      </c>
      <c r="G41" s="82">
        <f>12*12*15*1000</f>
        <v>2160000</v>
      </c>
      <c r="H41" s="82">
        <f>139*15*1000</f>
        <v>2085000</v>
      </c>
      <c r="I41" s="82">
        <f>139*15*1000</f>
        <v>2085000</v>
      </c>
      <c r="J41" s="82">
        <f>139*30*1000</f>
        <v>4170000</v>
      </c>
      <c r="K41" s="82">
        <f>139*30*1000</f>
        <v>4170000</v>
      </c>
      <c r="L41" s="83">
        <f>139*15*1000</f>
        <v>2085000</v>
      </c>
      <c r="M41" s="83">
        <f>139*15*1000</f>
        <v>2085000</v>
      </c>
    </row>
    <row r="42" spans="1:13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12" t="s">
        <v>16</v>
      </c>
      <c r="I42" s="12" t="s">
        <v>16</v>
      </c>
      <c r="J42" s="8" t="s">
        <v>16</v>
      </c>
      <c r="K42" s="8" t="s">
        <v>16</v>
      </c>
      <c r="L42" s="45" t="s">
        <v>16</v>
      </c>
      <c r="M42" s="45" t="s">
        <v>16</v>
      </c>
    </row>
    <row r="43" spans="1:13">
      <c r="A43" s="7" t="s">
        <v>71</v>
      </c>
      <c r="B43" s="12">
        <f t="shared" ref="B43:G43" si="8">B39+10*LOG10(B41)</f>
        <v>-94.603551432304087</v>
      </c>
      <c r="C43" s="12">
        <f t="shared" si="8"/>
        <v>-94.603551432304087</v>
      </c>
      <c r="D43" s="8">
        <f t="shared" si="8"/>
        <v>-105.46019811105398</v>
      </c>
      <c r="E43" s="8">
        <f t="shared" si="8"/>
        <v>-105.46019811105398</v>
      </c>
      <c r="F43" s="12">
        <f t="shared" si="8"/>
        <v>-97.613851388943885</v>
      </c>
      <c r="G43" s="12">
        <f t="shared" si="8"/>
        <v>-97.613851388943885</v>
      </c>
      <c r="H43" s="12">
        <f t="shared" ref="H43:M43" si="9">H39+10*LOG10(H41)</f>
        <v>-105.80893940690227</v>
      </c>
      <c r="I43" s="12">
        <f t="shared" si="9"/>
        <v>-105.80893940690227</v>
      </c>
      <c r="J43" s="8">
        <f t="shared" si="9"/>
        <v>-102.79863945026246</v>
      </c>
      <c r="K43" s="8">
        <f t="shared" si="9"/>
        <v>-102.79863945026246</v>
      </c>
      <c r="L43" s="45">
        <f t="shared" si="9"/>
        <v>-105.80893940690227</v>
      </c>
      <c r="M43" s="45">
        <f t="shared" si="9"/>
        <v>-105.80893940690227</v>
      </c>
    </row>
    <row r="44" spans="1:1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88" t="s">
        <v>16</v>
      </c>
      <c r="M44" s="88" t="s">
        <v>16</v>
      </c>
    </row>
    <row r="45" spans="1:13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  <c r="F45" s="16">
        <v>-19.239999999999998</v>
      </c>
      <c r="G45" s="16">
        <v>-19.239999999999998</v>
      </c>
      <c r="H45" s="16">
        <v>-12.2</v>
      </c>
      <c r="I45" s="16">
        <v>-12.2</v>
      </c>
      <c r="J45" s="16">
        <v>-17.5</v>
      </c>
      <c r="K45" s="16">
        <v>-17.5</v>
      </c>
      <c r="L45" s="52">
        <v>-13.5</v>
      </c>
      <c r="M45" s="52">
        <v>-13.5</v>
      </c>
    </row>
    <row r="46" spans="1:13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12" t="s">
        <v>16</v>
      </c>
      <c r="I46" s="12" t="s">
        <v>16</v>
      </c>
      <c r="J46" s="8" t="s">
        <v>16</v>
      </c>
      <c r="K46" s="8" t="s">
        <v>16</v>
      </c>
      <c r="L46" s="45" t="s">
        <v>16</v>
      </c>
      <c r="M46" s="45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  <c r="L47" s="45">
        <v>2</v>
      </c>
      <c r="M47" s="45">
        <v>2</v>
      </c>
    </row>
    <row r="48" spans="1:13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45">
        <v>0</v>
      </c>
      <c r="M48" s="45">
        <v>0</v>
      </c>
    </row>
    <row r="49" spans="1:1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88" t="s">
        <v>16</v>
      </c>
      <c r="M49" s="88" t="s">
        <v>16</v>
      </c>
    </row>
    <row r="50" spans="1:13" ht="27.6">
      <c r="A50" s="7" t="s">
        <v>80</v>
      </c>
      <c r="B50" s="12">
        <f t="shared" ref="B50:G50" si="10">B43+B45+B47-B48</f>
        <v>-102.85355143230409</v>
      </c>
      <c r="C50" s="12">
        <f t="shared" si="10"/>
        <v>-102.85355143230409</v>
      </c>
      <c r="D50" s="8">
        <f t="shared" si="10"/>
        <v>-103.46019811105398</v>
      </c>
      <c r="E50" s="8">
        <f t="shared" si="10"/>
        <v>-103.46019811105398</v>
      </c>
      <c r="F50" s="12">
        <f t="shared" si="10"/>
        <v>-114.85385138894388</v>
      </c>
      <c r="G50" s="12">
        <f t="shared" si="10"/>
        <v>-114.85385138894388</v>
      </c>
      <c r="H50" s="12">
        <f t="shared" ref="H50:M50" si="11">H43+H45+H47-H48</f>
        <v>-116.00893940690227</v>
      </c>
      <c r="I50" s="12">
        <f t="shared" si="11"/>
        <v>-116.00893940690227</v>
      </c>
      <c r="J50" s="8">
        <f t="shared" si="11"/>
        <v>-118.29863945026246</v>
      </c>
      <c r="K50" s="8">
        <f t="shared" si="11"/>
        <v>-118.29863945026246</v>
      </c>
      <c r="L50" s="45">
        <f t="shared" si="11"/>
        <v>-117.30893940690227</v>
      </c>
      <c r="M50" s="45">
        <f t="shared" si="11"/>
        <v>-117.30893940690227</v>
      </c>
    </row>
    <row r="51" spans="1:13" ht="27.6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12" t="s">
        <v>16</v>
      </c>
      <c r="I51" s="12" t="s">
        <v>16</v>
      </c>
      <c r="J51" s="8" t="s">
        <v>16</v>
      </c>
      <c r="K51" s="8" t="s">
        <v>16</v>
      </c>
      <c r="L51" s="45" t="s">
        <v>16</v>
      </c>
      <c r="M51" s="45" t="s">
        <v>16</v>
      </c>
    </row>
    <row r="52" spans="1:13" ht="27.6">
      <c r="A52" s="21" t="s">
        <v>83</v>
      </c>
      <c r="B52" s="22">
        <f t="shared" ref="B52:G52" si="12">B25+B30+B33-B34-B50</f>
        <v>149.67626376269976</v>
      </c>
      <c r="C52" s="22">
        <f t="shared" si="12"/>
        <v>146.67626376269976</v>
      </c>
      <c r="D52" s="22">
        <f t="shared" si="12"/>
        <v>150.28141065825059</v>
      </c>
      <c r="E52" s="22">
        <f t="shared" si="12"/>
        <v>147.28141065825059</v>
      </c>
      <c r="F52" s="22">
        <f t="shared" si="12"/>
        <v>158.62506393614052</v>
      </c>
      <c r="G52" s="22">
        <f t="shared" si="12"/>
        <v>155.62506393614052</v>
      </c>
      <c r="H52" s="22">
        <f t="shared" ref="H52:M52" si="13">H25+H30+H33-H34-H50</f>
        <v>155.7801519540989</v>
      </c>
      <c r="I52" s="22">
        <f t="shared" si="13"/>
        <v>152.7801519540989</v>
      </c>
      <c r="J52" s="22">
        <f t="shared" si="13"/>
        <v>155.06985199745907</v>
      </c>
      <c r="K52" s="22">
        <f t="shared" si="13"/>
        <v>152.06985199745907</v>
      </c>
      <c r="L52" s="58">
        <f t="shared" si="13"/>
        <v>156.79015195409889</v>
      </c>
      <c r="M52" s="58">
        <f t="shared" si="13"/>
        <v>153.79015195409889</v>
      </c>
    </row>
    <row r="53" spans="1:13" ht="27.6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  <c r="F53" s="24" t="s">
        <v>16</v>
      </c>
      <c r="G53" s="24" t="s">
        <v>16</v>
      </c>
      <c r="H53" s="24" t="s">
        <v>16</v>
      </c>
      <c r="I53" s="24" t="s">
        <v>16</v>
      </c>
      <c r="J53" s="85" t="s">
        <v>16</v>
      </c>
      <c r="K53" s="85" t="s">
        <v>16</v>
      </c>
      <c r="L53" s="89" t="s">
        <v>16</v>
      </c>
      <c r="M53" s="89" t="s">
        <v>16</v>
      </c>
    </row>
    <row r="54" spans="1:13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51"/>
      <c r="M54" s="51"/>
    </row>
    <row r="55" spans="1:13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>
        <v>7</v>
      </c>
      <c r="H55" s="82">
        <v>7</v>
      </c>
      <c r="I55" s="82">
        <v>7</v>
      </c>
      <c r="J55" s="82">
        <v>7</v>
      </c>
      <c r="K55" s="82">
        <v>7</v>
      </c>
      <c r="L55" s="83">
        <v>7</v>
      </c>
      <c r="M55" s="83">
        <v>7</v>
      </c>
    </row>
    <row r="56" spans="1:13" ht="27.6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  <c r="F56" s="82">
        <v>7.56</v>
      </c>
      <c r="G56" s="82">
        <v>7.56</v>
      </c>
      <c r="H56" s="82">
        <v>7.56</v>
      </c>
      <c r="I56" s="82">
        <v>7.56</v>
      </c>
      <c r="J56" s="82">
        <v>7.56</v>
      </c>
      <c r="K56" s="82">
        <v>7.56</v>
      </c>
      <c r="L56" s="83">
        <v>7.56</v>
      </c>
      <c r="M56" s="83">
        <v>7.56</v>
      </c>
    </row>
    <row r="57" spans="1:13" ht="27.6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  <c r="F57" s="25" t="s">
        <v>16</v>
      </c>
      <c r="G57" s="25" t="s">
        <v>16</v>
      </c>
      <c r="H57" s="25" t="s">
        <v>16</v>
      </c>
      <c r="I57" s="25" t="s">
        <v>16</v>
      </c>
      <c r="J57" s="9" t="s">
        <v>16</v>
      </c>
      <c r="K57" s="9" t="s">
        <v>16</v>
      </c>
      <c r="L57" s="88" t="s">
        <v>16</v>
      </c>
      <c r="M57" s="88" t="s">
        <v>16</v>
      </c>
    </row>
    <row r="58" spans="1:13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3">
        <v>0</v>
      </c>
      <c r="M58" s="83">
        <v>0</v>
      </c>
    </row>
    <row r="59" spans="1:13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3">
        <v>26.25</v>
      </c>
      <c r="M59" s="83">
        <v>26.25</v>
      </c>
    </row>
    <row r="60" spans="1:13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3">
        <v>0</v>
      </c>
      <c r="M60" s="83">
        <v>0</v>
      </c>
    </row>
    <row r="61" spans="1:13" ht="27.6">
      <c r="A61" s="21" t="s">
        <v>108</v>
      </c>
      <c r="B61" s="22">
        <f t="shared" ref="B61:G61" si="14">B52-B56+B58-B59+B60</f>
        <v>115.86626376269976</v>
      </c>
      <c r="C61" s="22">
        <f t="shared" si="14"/>
        <v>112.86626376269976</v>
      </c>
      <c r="D61" s="22">
        <f t="shared" si="14"/>
        <v>119.1514106582506</v>
      </c>
      <c r="E61" s="22">
        <f t="shared" si="14"/>
        <v>116.1514106582506</v>
      </c>
      <c r="F61" s="22">
        <f t="shared" si="14"/>
        <v>124.81506393614052</v>
      </c>
      <c r="G61" s="22">
        <f t="shared" si="14"/>
        <v>121.81506393614052</v>
      </c>
      <c r="H61" s="22">
        <f t="shared" ref="H61:M61" si="15">H52-H56+H58-H59+H60</f>
        <v>121.9701519540989</v>
      </c>
      <c r="I61" s="22">
        <f t="shared" si="15"/>
        <v>118.9701519540989</v>
      </c>
      <c r="J61" s="22">
        <f t="shared" si="15"/>
        <v>121.25985199745907</v>
      </c>
      <c r="K61" s="22">
        <f t="shared" si="15"/>
        <v>118.25985199745907</v>
      </c>
      <c r="L61" s="58">
        <f t="shared" si="15"/>
        <v>122.98015195409889</v>
      </c>
      <c r="M61" s="58">
        <f t="shared" si="15"/>
        <v>119.98015195409889</v>
      </c>
    </row>
    <row r="62" spans="1:13" ht="27.6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  <c r="F62" s="24" t="s">
        <v>16</v>
      </c>
      <c r="G62" s="24" t="s">
        <v>16</v>
      </c>
      <c r="H62" s="24" t="s">
        <v>16</v>
      </c>
      <c r="I62" s="24" t="s">
        <v>16</v>
      </c>
      <c r="J62" s="85" t="s">
        <v>16</v>
      </c>
      <c r="K62" s="85" t="s">
        <v>16</v>
      </c>
      <c r="L62" s="89" t="s">
        <v>16</v>
      </c>
      <c r="M62" s="89" t="s">
        <v>16</v>
      </c>
    </row>
    <row r="63" spans="1:13">
      <c r="C63" s="2"/>
      <c r="E63" s="2"/>
      <c r="F63" s="2"/>
      <c r="G63" s="2"/>
      <c r="I63" s="2"/>
      <c r="K63" s="2"/>
      <c r="M63" s="90"/>
    </row>
    <row r="64" spans="1:13">
      <c r="A64" s="21" t="s">
        <v>97</v>
      </c>
      <c r="B64" s="22">
        <f t="shared" ref="B64:G64" si="16">B17+B22-B50+B21+B33</f>
        <v>140.90505121550314</v>
      </c>
      <c r="C64" s="22">
        <f t="shared" si="16"/>
        <v>140.90505121550314</v>
      </c>
      <c r="D64" s="22">
        <f t="shared" si="16"/>
        <v>141.510198111054</v>
      </c>
      <c r="E64" s="22">
        <f t="shared" si="16"/>
        <v>141.510198111054</v>
      </c>
      <c r="F64" s="22">
        <f t="shared" si="16"/>
        <v>149.85385138894389</v>
      </c>
      <c r="G64" s="22">
        <f t="shared" si="16"/>
        <v>149.85385138894389</v>
      </c>
      <c r="H64" s="22">
        <f t="shared" ref="H64:M64" si="17">H17+H22-H50+H21+H33</f>
        <v>147.00893940690227</v>
      </c>
      <c r="I64" s="22">
        <f t="shared" si="17"/>
        <v>147.00893940690227</v>
      </c>
      <c r="J64" s="22">
        <f t="shared" si="17"/>
        <v>150.29863945026244</v>
      </c>
      <c r="K64" s="22">
        <f t="shared" si="17"/>
        <v>150.29863945026244</v>
      </c>
      <c r="L64" s="58">
        <f t="shared" si="17"/>
        <v>152.30893940690225</v>
      </c>
      <c r="M64" s="58">
        <f t="shared" si="17"/>
        <v>152.30893940690225</v>
      </c>
    </row>
    <row r="65" spans="1:13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  <c r="F65" s="24" t="s">
        <v>16</v>
      </c>
      <c r="G65" s="24" t="s">
        <v>16</v>
      </c>
      <c r="H65" s="24" t="s">
        <v>16</v>
      </c>
      <c r="I65" s="24" t="s">
        <v>16</v>
      </c>
      <c r="J65" s="85" t="s">
        <v>16</v>
      </c>
      <c r="K65" s="85" t="s">
        <v>16</v>
      </c>
      <c r="L65" s="89" t="s">
        <v>16</v>
      </c>
      <c r="M65" s="89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7" customWidth="1"/>
    <col min="2" max="4" width="15.59765625" style="2" customWidth="1"/>
    <col min="5" max="5" width="15.59765625" style="35" customWidth="1"/>
    <col min="6" max="6" width="39.59765625" style="38" customWidth="1"/>
    <col min="7" max="7" width="20.09765625" style="1" customWidth="1"/>
    <col min="8" max="16384" width="9" style="1"/>
  </cols>
  <sheetData>
    <row r="1" spans="1:6">
      <c r="A1" s="39" t="s">
        <v>0</v>
      </c>
    </row>
    <row r="2" spans="1:6" ht="27.6">
      <c r="A2" s="40" t="s">
        <v>1</v>
      </c>
    </row>
    <row r="3" spans="1:6">
      <c r="A3" s="29" t="s">
        <v>2</v>
      </c>
    </row>
    <row r="5" spans="1:6" ht="28.35" customHeight="1">
      <c r="A5" s="41" t="s">
        <v>3</v>
      </c>
      <c r="B5" s="92" t="s">
        <v>4</v>
      </c>
      <c r="C5" s="92"/>
      <c r="D5" s="92"/>
      <c r="E5" s="92"/>
      <c r="F5" s="92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7.6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7.6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5.2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5.2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1.4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1.4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55.2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55.2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7.6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1.4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69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1.4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5.2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55.2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5.2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7.6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7.6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7.6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7.6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7.6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7.6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7.6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27.6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27.6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27.6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27.6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27.6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93" t="s">
        <v>88</v>
      </c>
    </row>
    <row r="61" spans="1:7" ht="27.6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94"/>
    </row>
    <row r="62" spans="1:7" ht="27.6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94"/>
    </row>
    <row r="63" spans="1:7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94"/>
    </row>
    <row r="64" spans="1:7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94"/>
    </row>
    <row r="65" spans="1:7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95"/>
    </row>
    <row r="66" spans="1:7" ht="27.6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27.6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>
      <c r="A75" s="37"/>
      <c r="B75" s="2"/>
      <c r="C75" s="2"/>
      <c r="D75" s="2"/>
      <c r="E75" s="35"/>
      <c r="F75" s="38"/>
    </row>
    <row r="77" spans="1:7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5"/>
  <sheetViews>
    <sheetView tabSelected="1" zoomScale="90" zoomScaleNormal="90" workbookViewId="0">
      <pane xSplit="1" ySplit="1" topLeftCell="AU2" activePane="bottomRight" state="frozen"/>
      <selection pane="topRight"/>
      <selection pane="bottomLeft"/>
      <selection pane="bottomRight" activeCell="AH17" sqref="AH17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79" customWidth="1"/>
    <col min="9" max="10" width="15.59765625" style="1" customWidth="1"/>
    <col min="11" max="11" width="15.59765625" style="79" customWidth="1"/>
    <col min="12" max="16" width="15.59765625" style="1" customWidth="1"/>
    <col min="17" max="17" width="12.5" style="1" bestFit="1" customWidth="1"/>
    <col min="18" max="19" width="15.59765625" style="1" bestFit="1" customWidth="1"/>
    <col min="20" max="20" width="13.59765625" style="1" customWidth="1"/>
    <col min="21" max="21" width="14.8984375" style="1" customWidth="1"/>
    <col min="22" max="22" width="17" style="1" customWidth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31" width="14" style="1" customWidth="1"/>
    <col min="32" max="32" width="12.59765625" style="99" bestFit="1" customWidth="1"/>
    <col min="33" max="34" width="15.59765625" style="99" bestFit="1" customWidth="1"/>
    <col min="35" max="35" width="15.59765625" style="2" customWidth="1"/>
    <col min="36" max="37" width="15.59765625" style="1" customWidth="1"/>
    <col min="38" max="38" width="15.59765625" style="2" customWidth="1"/>
    <col min="39" max="40" width="15.59765625" style="1" customWidth="1"/>
    <col min="41" max="41" width="15.59765625" style="2" customWidth="1"/>
    <col min="42" max="43" width="15.59765625" style="1" customWidth="1"/>
    <col min="44" max="44" width="15.59765625" style="2" customWidth="1"/>
    <col min="45" max="46" width="15.59765625" style="1" customWidth="1"/>
    <col min="47" max="47" width="15.09765625" style="1" customWidth="1"/>
    <col min="48" max="48" width="16" style="1" customWidth="1"/>
    <col min="49" max="49" width="15.09765625" style="1" customWidth="1"/>
    <col min="50" max="50" width="15.59765625" style="2" customWidth="1"/>
    <col min="51" max="52" width="15.59765625" style="1" customWidth="1"/>
    <col min="53" max="53" width="15.59765625" style="2" customWidth="1"/>
    <col min="54" max="55" width="15.59765625" style="1" customWidth="1"/>
    <col min="56" max="56" width="13.296875" style="1" bestFit="1" customWidth="1"/>
    <col min="57" max="58" width="16.09765625" style="1" bestFit="1" customWidth="1"/>
    <col min="59" max="16384" width="9" style="1"/>
  </cols>
  <sheetData>
    <row r="1" spans="1:55" ht="14.25" customHeight="1">
      <c r="A1" s="3"/>
      <c r="B1" s="96" t="s">
        <v>100</v>
      </c>
      <c r="C1" s="96"/>
      <c r="D1" s="96"/>
      <c r="E1" s="96" t="s">
        <v>101</v>
      </c>
      <c r="F1" s="96"/>
      <c r="G1" s="96"/>
      <c r="H1" s="97" t="s">
        <v>113</v>
      </c>
      <c r="I1" s="97"/>
      <c r="J1" s="97"/>
      <c r="K1" s="96" t="s">
        <v>114</v>
      </c>
      <c r="L1" s="96"/>
      <c r="M1" s="96"/>
      <c r="N1" s="96" t="s">
        <v>117</v>
      </c>
      <c r="O1" s="96"/>
      <c r="P1" s="96"/>
      <c r="Q1" s="96" t="s">
        <v>125</v>
      </c>
      <c r="R1" s="96"/>
      <c r="S1" s="96"/>
      <c r="T1" s="96" t="s">
        <v>127</v>
      </c>
      <c r="U1" s="96"/>
      <c r="V1" s="96"/>
      <c r="W1" s="96" t="s">
        <v>129</v>
      </c>
      <c r="X1" s="96"/>
      <c r="Y1" s="96"/>
      <c r="Z1" s="96" t="s">
        <v>130</v>
      </c>
      <c r="AA1" s="96"/>
      <c r="AB1" s="96"/>
      <c r="AC1" s="96" t="s">
        <v>132</v>
      </c>
      <c r="AD1" s="96"/>
      <c r="AE1" s="96"/>
      <c r="AF1" s="96" t="s">
        <v>149</v>
      </c>
      <c r="AG1" s="96"/>
      <c r="AH1" s="96"/>
      <c r="AI1" s="96" t="s">
        <v>137</v>
      </c>
      <c r="AJ1" s="96"/>
      <c r="AK1" s="96"/>
      <c r="AL1" s="96" t="s">
        <v>140</v>
      </c>
      <c r="AM1" s="96"/>
      <c r="AN1" s="96"/>
      <c r="AO1" s="96" t="s">
        <v>142</v>
      </c>
      <c r="AP1" s="96"/>
      <c r="AQ1" s="96"/>
      <c r="AR1" s="96" t="s">
        <v>144</v>
      </c>
      <c r="AS1" s="96"/>
      <c r="AT1" s="96"/>
      <c r="AU1" s="96" t="s">
        <v>145</v>
      </c>
      <c r="AV1" s="96"/>
      <c r="AW1" s="96"/>
      <c r="AX1" s="96" t="s">
        <v>146</v>
      </c>
      <c r="AY1" s="96"/>
      <c r="AZ1" s="96"/>
      <c r="BA1" s="96" t="s">
        <v>147</v>
      </c>
      <c r="BB1" s="96"/>
      <c r="BC1" s="96"/>
    </row>
    <row r="2" spans="1:55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101" t="s">
        <v>102</v>
      </c>
      <c r="AG2" s="102" t="s">
        <v>103</v>
      </c>
      <c r="AH2" s="102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  <c r="AR2" s="5" t="s">
        <v>102</v>
      </c>
      <c r="AS2" s="6" t="s">
        <v>103</v>
      </c>
      <c r="AT2" s="6" t="s">
        <v>104</v>
      </c>
      <c r="AU2" s="5" t="s">
        <v>102</v>
      </c>
      <c r="AV2" s="6" t="s">
        <v>103</v>
      </c>
      <c r="AW2" s="6" t="s">
        <v>104</v>
      </c>
      <c r="AX2" s="5" t="s">
        <v>102</v>
      </c>
      <c r="AY2" s="6" t="s">
        <v>103</v>
      </c>
      <c r="AZ2" s="6" t="s">
        <v>104</v>
      </c>
      <c r="BA2" s="5" t="s">
        <v>102</v>
      </c>
      <c r="BB2" s="6" t="s">
        <v>103</v>
      </c>
      <c r="BC2" s="6" t="s">
        <v>104</v>
      </c>
    </row>
    <row r="3" spans="1:5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103">
        <v>2.6</v>
      </c>
      <c r="AG3" s="103">
        <v>2.6</v>
      </c>
      <c r="AH3" s="103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  <c r="AU3" s="8">
        <v>2.6</v>
      </c>
      <c r="AV3" s="8">
        <v>2.6</v>
      </c>
      <c r="AW3" s="8">
        <v>2.6</v>
      </c>
      <c r="AX3" s="8">
        <v>2.6</v>
      </c>
      <c r="AY3" s="8">
        <v>2.6</v>
      </c>
      <c r="AZ3" s="8">
        <v>2.6</v>
      </c>
      <c r="BA3" s="45">
        <v>2.6</v>
      </c>
      <c r="BB3" s="45">
        <v>2.6</v>
      </c>
      <c r="BC3" s="8"/>
    </row>
    <row r="4" spans="1:5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103">
        <v>100</v>
      </c>
      <c r="AG4" s="103">
        <v>100</v>
      </c>
      <c r="AH4" s="103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  <c r="AU4" s="8">
        <v>100</v>
      </c>
      <c r="AV4" s="8">
        <v>100</v>
      </c>
      <c r="AW4" s="8">
        <v>100</v>
      </c>
      <c r="AX4" s="8">
        <v>100</v>
      </c>
      <c r="AY4" s="8">
        <v>100</v>
      </c>
      <c r="AZ4" s="8">
        <v>100</v>
      </c>
      <c r="BA4" s="45">
        <v>100</v>
      </c>
      <c r="BB4" s="45">
        <v>100</v>
      </c>
      <c r="BC4" s="8"/>
    </row>
    <row r="5" spans="1:5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104" t="s">
        <v>16</v>
      </c>
      <c r="AG5" s="104" t="s">
        <v>16</v>
      </c>
      <c r="AH5" s="104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9" t="s">
        <v>16</v>
      </c>
      <c r="AX5" s="9" t="s">
        <v>16</v>
      </c>
      <c r="AY5" s="9" t="s">
        <v>16</v>
      </c>
      <c r="AZ5" s="9" t="s">
        <v>16</v>
      </c>
      <c r="BA5" s="88" t="s">
        <v>16</v>
      </c>
      <c r="BB5" s="88" t="s">
        <v>16</v>
      </c>
      <c r="BC5" s="9"/>
    </row>
    <row r="6" spans="1:55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  <c r="AC6" s="12">
        <v>10000000</v>
      </c>
      <c r="AD6" s="12">
        <v>2000000</v>
      </c>
      <c r="AE6" s="12"/>
      <c r="AF6" s="103">
        <v>10000000</v>
      </c>
      <c r="AG6" s="103">
        <v>2000000</v>
      </c>
      <c r="AH6" s="103">
        <v>2000000</v>
      </c>
      <c r="AI6" s="12">
        <v>10000000</v>
      </c>
      <c r="AJ6" s="12">
        <v>2000000</v>
      </c>
      <c r="AK6" s="12">
        <v>2000000</v>
      </c>
      <c r="AL6" s="12">
        <v>10000000</v>
      </c>
      <c r="AM6" s="12">
        <v>2000000</v>
      </c>
      <c r="AN6" s="12">
        <v>2000000</v>
      </c>
      <c r="AO6" s="8">
        <v>10000000</v>
      </c>
      <c r="AP6" s="8">
        <v>2000000</v>
      </c>
      <c r="AQ6" s="8">
        <v>2000000</v>
      </c>
      <c r="AR6" s="8">
        <v>10000000</v>
      </c>
      <c r="AS6" s="8">
        <v>2000000</v>
      </c>
      <c r="AT6" s="8">
        <v>2000000</v>
      </c>
      <c r="AU6" s="8">
        <v>10000000</v>
      </c>
      <c r="AV6" s="8">
        <v>2000000</v>
      </c>
      <c r="AW6" s="8">
        <v>2000000</v>
      </c>
      <c r="AX6" s="8">
        <v>10000000</v>
      </c>
      <c r="AY6" s="8">
        <v>2000000</v>
      </c>
      <c r="AZ6" s="8">
        <v>2000000</v>
      </c>
      <c r="BA6" s="45">
        <v>10000000</v>
      </c>
      <c r="BB6" s="45">
        <v>2000000</v>
      </c>
      <c r="BC6" s="8"/>
    </row>
    <row r="7" spans="1:5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/>
      <c r="AF7" s="104" t="s">
        <v>16</v>
      </c>
      <c r="AG7" s="104" t="s">
        <v>16</v>
      </c>
      <c r="AH7" s="104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" t="s">
        <v>16</v>
      </c>
      <c r="AU7" s="9" t="s">
        <v>16</v>
      </c>
      <c r="AV7" s="9" t="s">
        <v>16</v>
      </c>
      <c r="AW7" s="9" t="s">
        <v>16</v>
      </c>
      <c r="AX7" s="9" t="s">
        <v>16</v>
      </c>
      <c r="AY7" s="9" t="s">
        <v>16</v>
      </c>
      <c r="AZ7" s="9" t="s">
        <v>16</v>
      </c>
      <c r="BA7" s="88" t="s">
        <v>16</v>
      </c>
      <c r="BB7" s="88" t="s">
        <v>16</v>
      </c>
      <c r="BC7" s="9"/>
    </row>
    <row r="8" spans="1:5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  <c r="AC8" s="26">
        <v>0.1</v>
      </c>
      <c r="AD8" s="26">
        <v>0.1</v>
      </c>
      <c r="AE8" s="26"/>
      <c r="AF8" s="105">
        <v>0.1</v>
      </c>
      <c r="AG8" s="105">
        <v>0.1</v>
      </c>
      <c r="AH8" s="105">
        <v>0.1</v>
      </c>
      <c r="AI8" s="26">
        <v>0.1</v>
      </c>
      <c r="AJ8" s="26">
        <v>0.1</v>
      </c>
      <c r="AK8" s="26">
        <v>0.1</v>
      </c>
      <c r="AL8" s="26">
        <v>0.1</v>
      </c>
      <c r="AM8" s="26">
        <v>0.1</v>
      </c>
      <c r="AN8" s="26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">
        <v>0.1</v>
      </c>
      <c r="AU8" s="11">
        <v>0.1</v>
      </c>
      <c r="AV8" s="11">
        <v>0.1</v>
      </c>
      <c r="AW8" s="11">
        <v>0.1</v>
      </c>
      <c r="AX8" s="11">
        <v>0.1</v>
      </c>
      <c r="AY8" s="11">
        <v>0.1</v>
      </c>
      <c r="AZ8" s="11">
        <v>0.1</v>
      </c>
      <c r="BA8" s="50">
        <v>0.1</v>
      </c>
      <c r="BB8" s="50">
        <v>0.1</v>
      </c>
      <c r="BC8" s="11"/>
    </row>
    <row r="9" spans="1:55" ht="27.6" customHeight="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03" t="s">
        <v>22</v>
      </c>
      <c r="AG9" s="103" t="s">
        <v>22</v>
      </c>
      <c r="AH9" s="103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8" t="s">
        <v>22</v>
      </c>
      <c r="AX9" s="8" t="s">
        <v>22</v>
      </c>
      <c r="AY9" s="8" t="s">
        <v>22</v>
      </c>
      <c r="AZ9" s="8" t="s">
        <v>22</v>
      </c>
      <c r="BA9" s="45" t="s">
        <v>22</v>
      </c>
      <c r="BB9" s="45" t="s">
        <v>22</v>
      </c>
      <c r="BC9" s="8"/>
    </row>
    <row r="10" spans="1:5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03">
        <v>3</v>
      </c>
      <c r="AG10" s="103">
        <v>3</v>
      </c>
      <c r="AH10" s="103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8">
        <v>3</v>
      </c>
      <c r="AX10" s="8">
        <v>3</v>
      </c>
      <c r="AY10" s="8">
        <v>3</v>
      </c>
      <c r="AZ10" s="8">
        <v>3</v>
      </c>
      <c r="BA10" s="45">
        <v>3</v>
      </c>
      <c r="BB10" s="45">
        <v>3</v>
      </c>
      <c r="BC10" s="8"/>
    </row>
    <row r="11" spans="1:55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06"/>
      <c r="AG11" s="106"/>
      <c r="AH11" s="106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51"/>
      <c r="BB11" s="51"/>
      <c r="BC11" s="13"/>
    </row>
    <row r="12" spans="1:55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03">
        <v>192</v>
      </c>
      <c r="AG12" s="103">
        <v>192</v>
      </c>
      <c r="AH12" s="103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  <c r="AU12" s="8">
        <v>192</v>
      </c>
      <c r="AV12" s="8">
        <v>192</v>
      </c>
      <c r="AW12" s="8">
        <v>192</v>
      </c>
      <c r="AX12" s="8">
        <v>192</v>
      </c>
      <c r="AY12" s="8">
        <v>192</v>
      </c>
      <c r="AZ12" s="8">
        <v>192</v>
      </c>
      <c r="BA12" s="45">
        <v>192</v>
      </c>
      <c r="BB12" s="45">
        <v>192</v>
      </c>
      <c r="BC12" s="8"/>
    </row>
    <row r="13" spans="1:5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03">
        <v>64</v>
      </c>
      <c r="AG13" s="103">
        <v>64</v>
      </c>
      <c r="AH13" s="103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  <c r="AU13" s="8">
        <v>64</v>
      </c>
      <c r="AV13" s="8">
        <v>64</v>
      </c>
      <c r="AW13" s="8">
        <v>64</v>
      </c>
      <c r="AX13" s="8">
        <v>64</v>
      </c>
      <c r="AY13" s="8">
        <v>64</v>
      </c>
      <c r="AZ13" s="8">
        <v>64</v>
      </c>
      <c r="BA13" s="45">
        <v>64</v>
      </c>
      <c r="BB13" s="45">
        <v>64</v>
      </c>
      <c r="BC13" s="8"/>
    </row>
    <row r="14" spans="1:5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2">
        <v>4</v>
      </c>
      <c r="AD14" s="82">
        <v>4</v>
      </c>
      <c r="AE14" s="82"/>
      <c r="AF14" s="109">
        <v>4</v>
      </c>
      <c r="AG14" s="109">
        <v>4</v>
      </c>
      <c r="AH14" s="109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  <c r="AU14" s="82">
        <v>4</v>
      </c>
      <c r="AV14" s="82">
        <v>4</v>
      </c>
      <c r="AW14" s="82">
        <v>4</v>
      </c>
      <c r="AX14" s="82">
        <v>4</v>
      </c>
      <c r="AY14" s="82">
        <v>4</v>
      </c>
      <c r="AZ14" s="82">
        <v>4</v>
      </c>
      <c r="BA14" s="83">
        <v>4</v>
      </c>
      <c r="BB14" s="83">
        <v>4</v>
      </c>
      <c r="BC14" s="82"/>
    </row>
    <row r="15" spans="1:5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03">
        <v>33</v>
      </c>
      <c r="AG15" s="103">
        <v>33</v>
      </c>
      <c r="AH15" s="103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  <c r="AU15" s="8">
        <v>33</v>
      </c>
      <c r="AV15" s="8">
        <v>33</v>
      </c>
      <c r="AW15" s="8">
        <v>33</v>
      </c>
      <c r="AX15" s="8">
        <v>33</v>
      </c>
      <c r="AY15" s="8">
        <v>33</v>
      </c>
      <c r="AZ15" s="8">
        <v>33</v>
      </c>
      <c r="BA15" s="45">
        <v>33</v>
      </c>
      <c r="BB15" s="45">
        <v>33</v>
      </c>
      <c r="BC15" s="8"/>
    </row>
    <row r="16" spans="1:5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03">
        <f t="shared" ref="AF16:AH16" si="4">AF15+10*LOG10(AF4)</f>
        <v>53</v>
      </c>
      <c r="AG16" s="103">
        <f t="shared" si="4"/>
        <v>53</v>
      </c>
      <c r="AH16" s="103">
        <f t="shared" si="4"/>
        <v>53</v>
      </c>
      <c r="AI16" s="12">
        <f t="shared" ref="AF16:AK16" si="5">AI15+10*LOG10(AI4)</f>
        <v>53</v>
      </c>
      <c r="AJ16" s="12">
        <f t="shared" si="5"/>
        <v>53</v>
      </c>
      <c r="AK16" s="12">
        <f t="shared" si="5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  <c r="AO16" s="8">
        <f t="shared" ref="AO16:AQ16" si="6">AO15+10*LOG10(AO4)</f>
        <v>53</v>
      </c>
      <c r="AP16" s="8">
        <f t="shared" si="6"/>
        <v>53</v>
      </c>
      <c r="AQ16" s="8">
        <f t="shared" si="6"/>
        <v>53</v>
      </c>
      <c r="AR16" s="8">
        <f>AR15+10*LOG10(AR4)</f>
        <v>53</v>
      </c>
      <c r="AS16" s="8">
        <f>AS15+10*LOG10(AS4)</f>
        <v>53</v>
      </c>
      <c r="AT16" s="8">
        <f>AT15+10*LOG10(AT4)</f>
        <v>53</v>
      </c>
      <c r="AU16" s="8">
        <f t="shared" ref="AU16:BB16" si="7">AU15+10*LOG10(AU4)</f>
        <v>53</v>
      </c>
      <c r="AV16" s="8">
        <f t="shared" si="7"/>
        <v>53</v>
      </c>
      <c r="AW16" s="8">
        <f t="shared" si="7"/>
        <v>53</v>
      </c>
      <c r="AX16" s="8">
        <f t="shared" si="7"/>
        <v>53</v>
      </c>
      <c r="AY16" s="8">
        <f t="shared" si="7"/>
        <v>53</v>
      </c>
      <c r="AZ16" s="8">
        <f t="shared" si="7"/>
        <v>53</v>
      </c>
      <c r="BA16" s="45">
        <f t="shared" si="7"/>
        <v>53</v>
      </c>
      <c r="BB16" s="45">
        <f t="shared" si="7"/>
        <v>53</v>
      </c>
      <c r="BC16" s="8"/>
    </row>
    <row r="17" spans="1:55" ht="27.6">
      <c r="A17" s="7" t="s">
        <v>35</v>
      </c>
      <c r="B17" s="12">
        <f t="shared" ref="B17:G17" si="8">B15+10*LOG10(B42/1000000)</f>
        <v>48.105450102066122</v>
      </c>
      <c r="C17" s="12">
        <f t="shared" si="8"/>
        <v>41.115750058705935</v>
      </c>
      <c r="D17" s="12">
        <f t="shared" si="8"/>
        <v>41.115750058705935</v>
      </c>
      <c r="E17" s="12">
        <f t="shared" si="8"/>
        <v>51.907562519182179</v>
      </c>
      <c r="F17" s="12"/>
      <c r="G17" s="12">
        <f t="shared" si="8"/>
        <v>44.997551772534749</v>
      </c>
      <c r="H17" s="71">
        <f t="shared" ref="H17:M17" si="9">H15+10*LOG10(H42/1000000)</f>
        <v>51.57332496431269</v>
      </c>
      <c r="I17" s="71">
        <f t="shared" si="9"/>
        <v>45.638726768652234</v>
      </c>
      <c r="J17" s="71">
        <f t="shared" si="9"/>
        <v>45.638726768652234</v>
      </c>
      <c r="K17" s="12">
        <f t="shared" si="9"/>
        <v>52.924651478080435</v>
      </c>
      <c r="L17" s="12">
        <f t="shared" si="9"/>
        <v>45.638726768652234</v>
      </c>
      <c r="M17" s="12">
        <f t="shared" si="9"/>
        <v>45.638726768652234</v>
      </c>
      <c r="N17" s="12">
        <f t="shared" ref="N17:S17" si="10">N15+10*LOG10(N42/1000000)</f>
        <v>48.816083660320572</v>
      </c>
      <c r="O17" s="12">
        <f t="shared" si="10"/>
        <v>42.365137424788934</v>
      </c>
      <c r="P17" s="12">
        <f t="shared" si="10"/>
        <v>42.365137424788934</v>
      </c>
      <c r="Q17" s="12">
        <f t="shared" si="10"/>
        <v>51.57332496431269</v>
      </c>
      <c r="R17" s="12">
        <f t="shared" si="10"/>
        <v>45.638726768652234</v>
      </c>
      <c r="S17" s="12">
        <f t="shared" si="10"/>
        <v>45.638726768652234</v>
      </c>
      <c r="T17" s="8">
        <f t="shared" ref="T17:Y17" si="11">T15+10*LOG10(T42/1000000)</f>
        <v>51.57332496431269</v>
      </c>
      <c r="U17" s="8">
        <f t="shared" si="11"/>
        <v>45.638726768652234</v>
      </c>
      <c r="V17" s="8">
        <f t="shared" si="11"/>
        <v>45.638726768652234</v>
      </c>
      <c r="W17" s="8">
        <f t="shared" si="11"/>
        <v>52.924651478080435</v>
      </c>
      <c r="X17" s="8">
        <f t="shared" si="11"/>
        <v>45.638726768652234</v>
      </c>
      <c r="Y17" s="8">
        <f t="shared" si="11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  <c r="AC17" s="12">
        <f>AC15+10*LOG10(AC42/1000000)</f>
        <v>52.908714048014858</v>
      </c>
      <c r="AD17" s="12">
        <f>AD15+10*LOG10(AD42/1000000)</f>
        <v>45.638726768652234</v>
      </c>
      <c r="AE17" s="12"/>
      <c r="AF17" s="103">
        <f>AF15+10*LOG10(AF42/1000000)</f>
        <v>48.563025007672877</v>
      </c>
      <c r="AG17" s="103">
        <f>AG15+10*LOG10(AG42/1000000)</f>
        <v>41.57332496431269</v>
      </c>
      <c r="AH17" s="103">
        <f>AH15+10*LOG10(AH42/1000000)</f>
        <v>41.57332496431269</v>
      </c>
      <c r="AI17" s="12">
        <f t="shared" ref="AF17:AK17" si="12">AI15+10*LOG10(AI42/1000000)</f>
        <v>52.310508467773914</v>
      </c>
      <c r="AJ17" s="12">
        <f t="shared" si="12"/>
        <v>45.464985807958008</v>
      </c>
      <c r="AK17" s="12">
        <f t="shared" si="12"/>
        <v>45.464985807958008</v>
      </c>
      <c r="AL17" s="12">
        <f>AL15+10*LOG10(AL42/1000000)</f>
        <v>51.57332496431269</v>
      </c>
      <c r="AM17" s="12">
        <f>AM15+10*LOG10(AM42/1000000)</f>
        <v>45.638726768652234</v>
      </c>
      <c r="AN17" s="12">
        <f>AN15+10*LOG10(AN42/1000000)</f>
        <v>45.638726768652234</v>
      </c>
      <c r="AO17" s="8">
        <f t="shared" ref="AO17:AQ17" si="13">AO15+10*LOG10(AO42/1000000)</f>
        <v>44.690863574870228</v>
      </c>
      <c r="AP17" s="8">
        <f t="shared" si="13"/>
        <v>44.690863574870228</v>
      </c>
      <c r="AQ17" s="8">
        <f t="shared" si="13"/>
        <v>44.690863574870228</v>
      </c>
      <c r="AR17" s="8">
        <f>AR15+10*LOG10(AR42/1000000)</f>
        <v>51.57332496431269</v>
      </c>
      <c r="AS17" s="8">
        <f>AS15+10*LOG10(AS42/1000000)</f>
        <v>45.638726768652234</v>
      </c>
      <c r="AT17" s="8">
        <f>AT15+10*LOG10(AT42/1000000)</f>
        <v>45.638726768652234</v>
      </c>
      <c r="AU17" s="8">
        <f t="shared" ref="AU17:BB17" si="14">AU15+10*LOG10(AU42/1000000)</f>
        <v>52.310508467773914</v>
      </c>
      <c r="AV17" s="8">
        <f t="shared" si="14"/>
        <v>45.375437381428746</v>
      </c>
      <c r="AW17" s="8">
        <f t="shared" si="14"/>
        <v>45.375437381428746</v>
      </c>
      <c r="AX17" s="8">
        <f t="shared" si="14"/>
        <v>51.907562519182179</v>
      </c>
      <c r="AY17" s="8">
        <f t="shared" si="14"/>
        <v>45.638726768652234</v>
      </c>
      <c r="AZ17" s="8">
        <f t="shared" si="14"/>
        <v>45.638726768652234</v>
      </c>
      <c r="BA17" s="45">
        <f t="shared" si="14"/>
        <v>51.57332496431269</v>
      </c>
      <c r="BB17" s="45">
        <f t="shared" si="14"/>
        <v>45.638726768652234</v>
      </c>
      <c r="BC17" s="8"/>
    </row>
    <row r="18" spans="1:55" ht="41.4">
      <c r="A18" s="14" t="s">
        <v>37</v>
      </c>
      <c r="B18" s="12">
        <f t="shared" ref="B18:G18" si="15">B19+10*LOG10(B12/B13)-B20</f>
        <v>12.771212547196624</v>
      </c>
      <c r="C18" s="12">
        <f t="shared" si="15"/>
        <v>12.771212547196624</v>
      </c>
      <c r="D18" s="12">
        <f t="shared" si="15"/>
        <v>12.771212547196624</v>
      </c>
      <c r="E18" s="12">
        <f t="shared" si="15"/>
        <v>9.8212125471966232</v>
      </c>
      <c r="F18" s="12"/>
      <c r="G18" s="12">
        <f t="shared" si="15"/>
        <v>9.8212125471966232</v>
      </c>
      <c r="H18" s="71">
        <f t="shared" ref="H18:M18" si="16">H19+10*LOG10(H12/H13)-H20</f>
        <v>12.771212547196624</v>
      </c>
      <c r="I18" s="71">
        <f t="shared" si="16"/>
        <v>12.771212547196624</v>
      </c>
      <c r="J18" s="71">
        <f t="shared" si="16"/>
        <v>12.771212547196624</v>
      </c>
      <c r="K18" s="12">
        <f t="shared" si="16"/>
        <v>12.771212547196624</v>
      </c>
      <c r="L18" s="12">
        <f t="shared" si="16"/>
        <v>12.771212547196624</v>
      </c>
      <c r="M18" s="12">
        <f t="shared" si="16"/>
        <v>12.771212547196624</v>
      </c>
      <c r="N18" s="12">
        <f t="shared" ref="N18:S18" si="17">N19+10*LOG10(N12/N13)-N20</f>
        <v>10.121212547196624</v>
      </c>
      <c r="O18" s="12">
        <f t="shared" si="17"/>
        <v>10.121212547196624</v>
      </c>
      <c r="P18" s="12">
        <f t="shared" si="17"/>
        <v>10.121212547196624</v>
      </c>
      <c r="Q18" s="12">
        <f t="shared" si="17"/>
        <v>12.771212547196624</v>
      </c>
      <c r="R18" s="12">
        <f t="shared" si="17"/>
        <v>12.771212547196624</v>
      </c>
      <c r="S18" s="12">
        <f t="shared" si="17"/>
        <v>12.771212547196624</v>
      </c>
      <c r="T18" s="8">
        <f t="shared" ref="T18:Y18" si="18">T19+10*LOG10(T12/T13)-T20</f>
        <v>12.771212547196624</v>
      </c>
      <c r="U18" s="8">
        <f t="shared" si="18"/>
        <v>12.771212547196624</v>
      </c>
      <c r="V18" s="8">
        <f t="shared" si="18"/>
        <v>12.771212547196624</v>
      </c>
      <c r="W18" s="8">
        <f t="shared" si="18"/>
        <v>12.771212547196624</v>
      </c>
      <c r="X18" s="8">
        <f t="shared" si="18"/>
        <v>12.771212547196624</v>
      </c>
      <c r="Y18" s="8">
        <f t="shared" si="18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03">
        <f t="shared" ref="AF18:AH18" si="19">AF19+10*LOG10(AF12/AF13)-AF20</f>
        <v>12.771212547196624</v>
      </c>
      <c r="AG18" s="103">
        <f t="shared" si="19"/>
        <v>12.771212547196624</v>
      </c>
      <c r="AH18" s="103">
        <f t="shared" si="19"/>
        <v>12.771212547196624</v>
      </c>
      <c r="AI18" s="12">
        <f t="shared" ref="AF18:AK18" si="20">AI19+10*LOG10(AI12/AI13)-AI20</f>
        <v>12.771212547196624</v>
      </c>
      <c r="AJ18" s="12">
        <f t="shared" si="20"/>
        <v>12.771212547196624</v>
      </c>
      <c r="AK18" s="12">
        <f t="shared" si="20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  <c r="AO18" s="8">
        <f t="shared" ref="AO18:AQ18" si="21">AO19+10*LOG10(AO12/AO13)-AO20</f>
        <v>12.771212547196624</v>
      </c>
      <c r="AP18" s="8">
        <f t="shared" si="21"/>
        <v>12.771212547196624</v>
      </c>
      <c r="AQ18" s="8">
        <f t="shared" si="21"/>
        <v>12.771212547196624</v>
      </c>
      <c r="AR18" s="8">
        <f>AR19+10*LOG10(AR12/AR13)-AR20</f>
        <v>12.771212547196624</v>
      </c>
      <c r="AS18" s="8">
        <f>AS19+10*LOG10(AS12/AS13)-AS20</f>
        <v>12.771212547196624</v>
      </c>
      <c r="AT18" s="8">
        <f>AT19+10*LOG10(AT12/AT13)-AT20</f>
        <v>12.771212547196624</v>
      </c>
      <c r="AU18" s="8">
        <f t="shared" ref="AU18:BB18" si="22">AU19+10*LOG10(AU12/AU13)-AU20</f>
        <v>12.771212547196624</v>
      </c>
      <c r="AV18" s="8">
        <f t="shared" si="22"/>
        <v>12.771212547196624</v>
      </c>
      <c r="AW18" s="8">
        <f t="shared" si="22"/>
        <v>12.771212547196624</v>
      </c>
      <c r="AX18" s="8">
        <f t="shared" si="22"/>
        <v>12.771212547196624</v>
      </c>
      <c r="AY18" s="8">
        <f t="shared" si="22"/>
        <v>12.771212547196624</v>
      </c>
      <c r="AZ18" s="8">
        <f t="shared" si="22"/>
        <v>12.771212547196624</v>
      </c>
      <c r="BA18" s="45">
        <f t="shared" si="22"/>
        <v>9.7412125471966249</v>
      </c>
      <c r="BB18" s="45">
        <f t="shared" si="22"/>
        <v>9.7412125471966249</v>
      </c>
      <c r="BC18" s="8"/>
    </row>
    <row r="19" spans="1:5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/>
      <c r="AF19" s="103">
        <v>8</v>
      </c>
      <c r="AG19" s="103">
        <v>8</v>
      </c>
      <c r="AH19" s="103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8">
        <v>8</v>
      </c>
      <c r="AX19" s="8">
        <v>8</v>
      </c>
      <c r="AY19" s="8">
        <v>8</v>
      </c>
      <c r="AZ19" s="8">
        <v>8</v>
      </c>
      <c r="BA19" s="45">
        <v>8</v>
      </c>
      <c r="BB19" s="45">
        <v>8</v>
      </c>
      <c r="BC19" s="8"/>
    </row>
    <row r="20" spans="1:55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109">
        <v>0</v>
      </c>
      <c r="AG20" s="109">
        <v>0</v>
      </c>
      <c r="AH20" s="109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  <c r="BA20" s="83">
        <v>3.03</v>
      </c>
      <c r="BB20" s="83">
        <v>3.03</v>
      </c>
      <c r="BC20" s="82"/>
    </row>
    <row r="21" spans="1:55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23">10*LOG10(O13/O14)</f>
        <v>15.051499783199061</v>
      </c>
      <c r="P21" s="16">
        <f t="shared" si="23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07">
        <v>12</v>
      </c>
      <c r="AG21" s="107">
        <v>12</v>
      </c>
      <c r="AH21" s="107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  <c r="AR21" s="16">
        <v>10</v>
      </c>
      <c r="AS21" s="16">
        <v>10</v>
      </c>
      <c r="AT21" s="16">
        <v>10</v>
      </c>
      <c r="AU21" s="16">
        <v>12</v>
      </c>
      <c r="AV21" s="16">
        <v>12</v>
      </c>
      <c r="AW21" s="16">
        <v>12</v>
      </c>
      <c r="AX21" s="16">
        <v>12</v>
      </c>
      <c r="AY21" s="16">
        <v>12</v>
      </c>
      <c r="AZ21" s="16">
        <v>12</v>
      </c>
      <c r="BA21" s="52">
        <v>12</v>
      </c>
      <c r="BB21" s="52">
        <v>12</v>
      </c>
      <c r="BC21" s="16"/>
    </row>
    <row r="22" spans="1:5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03">
        <v>0</v>
      </c>
      <c r="AG22" s="103">
        <v>0</v>
      </c>
      <c r="AH22" s="10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45">
        <v>0</v>
      </c>
      <c r="BB22" s="45">
        <v>0</v>
      </c>
      <c r="BC22" s="8"/>
    </row>
    <row r="23" spans="1:5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03">
        <v>0</v>
      </c>
      <c r="AG23" s="103">
        <v>0</v>
      </c>
      <c r="AH23" s="103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45">
        <v>0</v>
      </c>
      <c r="BB23" s="45">
        <v>0</v>
      </c>
      <c r="BC23" s="8"/>
    </row>
    <row r="24" spans="1:55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03">
        <v>3</v>
      </c>
      <c r="AG24" s="103">
        <v>3</v>
      </c>
      <c r="AH24" s="103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8">
        <v>3</v>
      </c>
      <c r="AX24" s="8">
        <v>3</v>
      </c>
      <c r="AY24" s="8">
        <v>3</v>
      </c>
      <c r="AZ24" s="8">
        <v>3</v>
      </c>
      <c r="BA24" s="45">
        <v>3</v>
      </c>
      <c r="BB24" s="45">
        <v>3</v>
      </c>
      <c r="BC24" s="8"/>
    </row>
    <row r="25" spans="1:5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/>
      <c r="AF25" s="104" t="s">
        <v>16</v>
      </c>
      <c r="AG25" s="104" t="s">
        <v>16</v>
      </c>
      <c r="AH25" s="104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" t="s">
        <v>16</v>
      </c>
      <c r="AU25" s="9" t="s">
        <v>16</v>
      </c>
      <c r="AV25" s="9" t="s">
        <v>16</v>
      </c>
      <c r="AW25" s="9" t="s">
        <v>16</v>
      </c>
      <c r="AX25" s="9" t="s">
        <v>16</v>
      </c>
      <c r="AY25" s="9" t="s">
        <v>16</v>
      </c>
      <c r="AZ25" s="9" t="s">
        <v>16</v>
      </c>
      <c r="BA25" s="88" t="s">
        <v>16</v>
      </c>
      <c r="BB25" s="88" t="s">
        <v>16</v>
      </c>
      <c r="BC25" s="9"/>
    </row>
    <row r="26" spans="1:55">
      <c r="A26" s="7" t="s">
        <v>51</v>
      </c>
      <c r="B26" s="12">
        <f t="shared" ref="B26:G26" si="24">B17+B18+B21-B23-B24</f>
        <v>69.876662649262755</v>
      </c>
      <c r="C26" s="12">
        <f t="shared" si="24"/>
        <v>62.886962605902568</v>
      </c>
      <c r="D26" s="12">
        <f t="shared" si="24"/>
        <v>62.886962605902568</v>
      </c>
      <c r="E26" s="12">
        <f t="shared" si="24"/>
        <v>70.768775066378794</v>
      </c>
      <c r="F26" s="12"/>
      <c r="G26" s="12">
        <f t="shared" si="24"/>
        <v>63.858764319731364</v>
      </c>
      <c r="H26" s="71">
        <f t="shared" ref="H26:M26" si="25">H17+H18+H21-H23-H24</f>
        <v>73.344537511509316</v>
      </c>
      <c r="I26" s="71">
        <f t="shared" si="25"/>
        <v>67.40993931584886</v>
      </c>
      <c r="J26" s="71">
        <f t="shared" si="25"/>
        <v>67.40993931584886</v>
      </c>
      <c r="K26" s="12">
        <f t="shared" si="25"/>
        <v>74.695864025277061</v>
      </c>
      <c r="L26" s="12">
        <f t="shared" si="25"/>
        <v>67.40993931584886</v>
      </c>
      <c r="M26" s="12">
        <f t="shared" si="25"/>
        <v>67.40993931584886</v>
      </c>
      <c r="N26" s="12">
        <f t="shared" ref="N26:S26" si="26">N17+N18+N21-N23-N24</f>
        <v>70.988795990716255</v>
      </c>
      <c r="O26" s="12">
        <f t="shared" si="26"/>
        <v>64.537849755184624</v>
      </c>
      <c r="P26" s="12">
        <f t="shared" si="26"/>
        <v>64.537849755184624</v>
      </c>
      <c r="Q26" s="12">
        <f t="shared" si="26"/>
        <v>73.344537511509316</v>
      </c>
      <c r="R26" s="12">
        <f t="shared" si="26"/>
        <v>67.40993931584886</v>
      </c>
      <c r="S26" s="12">
        <f t="shared" si="26"/>
        <v>67.40993931584886</v>
      </c>
      <c r="T26" s="8">
        <f t="shared" ref="T26:Y26" si="27">T17+T18+T21-T23-T24</f>
        <v>73.344537511509316</v>
      </c>
      <c r="U26" s="8">
        <f t="shared" si="27"/>
        <v>67.40993931584886</v>
      </c>
      <c r="V26" s="8">
        <f t="shared" si="27"/>
        <v>67.40993931584886</v>
      </c>
      <c r="W26" s="8">
        <f t="shared" si="27"/>
        <v>77.745864025277058</v>
      </c>
      <c r="X26" s="8">
        <f t="shared" si="27"/>
        <v>70.459939315848857</v>
      </c>
      <c r="Y26" s="8">
        <f t="shared" si="27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  <c r="AC26" s="12">
        <f>AC17+AC18+AC21-AC23-AC24</f>
        <v>74.679926595211484</v>
      </c>
      <c r="AD26" s="12">
        <f>AD17+AD18+AD21-AD23-AD24</f>
        <v>67.40993931584886</v>
      </c>
      <c r="AE26" s="12"/>
      <c r="AF26" s="103">
        <f>AF17+AF18+AF21-AF23-AF24</f>
        <v>70.334237554869503</v>
      </c>
      <c r="AG26" s="103">
        <f>AG17+AG18+AG21-AG23-AG24</f>
        <v>63.344537511509316</v>
      </c>
      <c r="AH26" s="103">
        <f>AH17+AH18+AH21-AH23-AH24</f>
        <v>63.344537511509316</v>
      </c>
      <c r="AI26" s="12">
        <f t="shared" ref="AF26:AK26" si="28">AI17+AI18+AI21-AI23-AI24</f>
        <v>74.08172101497054</v>
      </c>
      <c r="AJ26" s="12">
        <f t="shared" si="28"/>
        <v>67.236198355154642</v>
      </c>
      <c r="AK26" s="12">
        <f t="shared" si="28"/>
        <v>67.236198355154642</v>
      </c>
      <c r="AL26" s="12">
        <f>AL17+AL18+AL21-AL23-AL24</f>
        <v>73.344537511509316</v>
      </c>
      <c r="AM26" s="12">
        <f>AM17+AM18+AM21-AM23-AM24</f>
        <v>67.40993931584886</v>
      </c>
      <c r="AN26" s="12">
        <f>AN17+AN18+AN21-AN23-AN24</f>
        <v>67.40993931584886</v>
      </c>
      <c r="AO26" s="8">
        <f t="shared" ref="AO26:AQ26" si="29">AO17+AO18+AO21-AO23-AO24</f>
        <v>66.462076122066861</v>
      </c>
      <c r="AP26" s="8">
        <f t="shared" si="29"/>
        <v>66.462076122066861</v>
      </c>
      <c r="AQ26" s="8">
        <f t="shared" si="29"/>
        <v>66.462076122066861</v>
      </c>
      <c r="AR26" s="8">
        <f>AR17+AR18+AR21-AR23-AR24</f>
        <v>71.344537511509316</v>
      </c>
      <c r="AS26" s="8">
        <f>AS17+AS18+AS21-AS23-AS24</f>
        <v>65.40993931584886</v>
      </c>
      <c r="AT26" s="8">
        <f>AT17+AT18+AT21-AT23-AT24</f>
        <v>65.40993931584886</v>
      </c>
      <c r="AU26" s="8">
        <f t="shared" ref="AU26:BB26" si="30">AU17+AU18+AU21-AU23-AU24</f>
        <v>74.08172101497054</v>
      </c>
      <c r="AV26" s="8">
        <f t="shared" si="30"/>
        <v>67.146649928625379</v>
      </c>
      <c r="AW26" s="8">
        <f t="shared" si="30"/>
        <v>67.146649928625379</v>
      </c>
      <c r="AX26" s="8">
        <f t="shared" si="30"/>
        <v>73.678775066378805</v>
      </c>
      <c r="AY26" s="8">
        <f t="shared" si="30"/>
        <v>67.40993931584886</v>
      </c>
      <c r="AZ26" s="8">
        <f t="shared" si="30"/>
        <v>67.40993931584886</v>
      </c>
      <c r="BA26" s="45">
        <f t="shared" si="30"/>
        <v>70.314537511509315</v>
      </c>
      <c r="BB26" s="45">
        <f t="shared" si="30"/>
        <v>64.379939315848858</v>
      </c>
      <c r="BC26" s="8"/>
    </row>
    <row r="27" spans="1:55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06"/>
      <c r="AG27" s="106"/>
      <c r="AH27" s="106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51"/>
      <c r="BB27" s="51"/>
      <c r="BC27" s="13"/>
    </row>
    <row r="28" spans="1:5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03">
        <v>4</v>
      </c>
      <c r="AG28" s="103">
        <v>2</v>
      </c>
      <c r="AH28" s="103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  <c r="AR28" s="8">
        <v>4</v>
      </c>
      <c r="AS28" s="8">
        <v>2</v>
      </c>
      <c r="AT28" s="8">
        <v>1</v>
      </c>
      <c r="AU28" s="8">
        <v>4</v>
      </c>
      <c r="AV28" s="8">
        <v>2</v>
      </c>
      <c r="AW28" s="8">
        <v>1</v>
      </c>
      <c r="AX28" s="8">
        <v>4</v>
      </c>
      <c r="AY28" s="8">
        <v>2</v>
      </c>
      <c r="AZ28" s="8">
        <v>1</v>
      </c>
      <c r="BA28" s="45">
        <v>4</v>
      </c>
      <c r="BB28" s="45">
        <v>2</v>
      </c>
      <c r="BC28" s="8"/>
    </row>
    <row r="29" spans="1:5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03">
        <v>4</v>
      </c>
      <c r="AG29" s="103">
        <v>2</v>
      </c>
      <c r="AH29" s="103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  <c r="AR29" s="8">
        <v>4</v>
      </c>
      <c r="AS29" s="8">
        <v>2</v>
      </c>
      <c r="AT29" s="8">
        <v>1</v>
      </c>
      <c r="AU29" s="8">
        <v>4</v>
      </c>
      <c r="AV29" s="8">
        <v>2</v>
      </c>
      <c r="AW29" s="8">
        <v>1</v>
      </c>
      <c r="AX29" s="8">
        <v>4</v>
      </c>
      <c r="AY29" s="8">
        <v>2</v>
      </c>
      <c r="AZ29" s="8">
        <v>1</v>
      </c>
      <c r="BA29" s="45">
        <v>4</v>
      </c>
      <c r="BB29" s="45">
        <v>2</v>
      </c>
      <c r="BC29" s="8"/>
    </row>
    <row r="30" spans="1:55" ht="41.4">
      <c r="A30" s="7" t="s">
        <v>56</v>
      </c>
      <c r="B30" s="12">
        <f t="shared" ref="B30:G30" si="31">B31+10*LOG10(B28/B29)-B32</f>
        <v>0</v>
      </c>
      <c r="C30" s="12">
        <f t="shared" si="31"/>
        <v>-3</v>
      </c>
      <c r="D30" s="12">
        <f t="shared" si="31"/>
        <v>-3</v>
      </c>
      <c r="E30" s="12">
        <f t="shared" si="31"/>
        <v>0</v>
      </c>
      <c r="F30" s="12"/>
      <c r="G30" s="12">
        <f t="shared" si="31"/>
        <v>-3</v>
      </c>
      <c r="H30" s="71">
        <f t="shared" ref="H30:M30" si="32">H31+10*LOG10(H28/H29)-H32</f>
        <v>0</v>
      </c>
      <c r="I30" s="71">
        <f t="shared" si="32"/>
        <v>-3</v>
      </c>
      <c r="J30" s="71">
        <f t="shared" si="32"/>
        <v>-3</v>
      </c>
      <c r="K30" s="12">
        <f t="shared" si="32"/>
        <v>0</v>
      </c>
      <c r="L30" s="12">
        <f t="shared" si="32"/>
        <v>-3</v>
      </c>
      <c r="M30" s="12">
        <f t="shared" si="32"/>
        <v>-3</v>
      </c>
      <c r="N30" s="12">
        <f t="shared" ref="N30:S30" si="33">N31+10*LOG10(N28/N29)-N32</f>
        <v>0</v>
      </c>
      <c r="O30" s="12">
        <f t="shared" si="33"/>
        <v>-3</v>
      </c>
      <c r="P30" s="12">
        <f t="shared" si="33"/>
        <v>-3</v>
      </c>
      <c r="Q30" s="12">
        <f t="shared" si="33"/>
        <v>0</v>
      </c>
      <c r="R30" s="12">
        <f t="shared" si="33"/>
        <v>-3</v>
      </c>
      <c r="S30" s="12">
        <f t="shared" si="33"/>
        <v>-3</v>
      </c>
      <c r="T30" s="8">
        <f t="shared" ref="T30:Y30" si="34">T31+10*LOG10(T28/T29)-T32</f>
        <v>0</v>
      </c>
      <c r="U30" s="8">
        <f t="shared" si="34"/>
        <v>-3</v>
      </c>
      <c r="V30" s="8">
        <f t="shared" si="34"/>
        <v>-3</v>
      </c>
      <c r="W30" s="8">
        <f t="shared" si="34"/>
        <v>0</v>
      </c>
      <c r="X30" s="8">
        <f t="shared" si="34"/>
        <v>-3</v>
      </c>
      <c r="Y30" s="8">
        <f t="shared" si="34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47">
        <f>AD31+10*LOG10(AD28/AD29)-AD32</f>
        <v>-3</v>
      </c>
      <c r="AE30" s="12"/>
      <c r="AF30" s="103">
        <f t="shared" ref="AF30:AH30" si="35">AF31+10*LOG10(AF28/AF29)-AF32</f>
        <v>0</v>
      </c>
      <c r="AG30" s="103">
        <f t="shared" si="35"/>
        <v>-3</v>
      </c>
      <c r="AH30" s="103">
        <f t="shared" si="35"/>
        <v>-3</v>
      </c>
      <c r="AI30" s="12">
        <f t="shared" ref="AF30:AK30" si="36">AI31+10*LOG10(AI28/AI29)-AI32</f>
        <v>0</v>
      </c>
      <c r="AJ30" s="12">
        <f t="shared" si="36"/>
        <v>-3</v>
      </c>
      <c r="AK30" s="12">
        <f t="shared" si="36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  <c r="AO30" s="8">
        <f t="shared" ref="AO30:AQ30" si="37">AO31+10*LOG10(AO28/AO29)-AO32</f>
        <v>0</v>
      </c>
      <c r="AP30" s="8">
        <f t="shared" si="37"/>
        <v>-3</v>
      </c>
      <c r="AQ30" s="8">
        <f t="shared" si="37"/>
        <v>-3</v>
      </c>
      <c r="AR30" s="8">
        <f>AR31+10*LOG10(AR28/AR29)-AR32</f>
        <v>0</v>
      </c>
      <c r="AS30" s="8">
        <f>AS31+10*LOG10(AS28/AS29)-AS32</f>
        <v>-3</v>
      </c>
      <c r="AT30" s="8">
        <f>AT31+10*LOG10(AT28/AT29)-AT32</f>
        <v>-3</v>
      </c>
      <c r="AU30" s="8">
        <f t="shared" ref="AU30:BB30" si="38">AU31+10*LOG10(AU28/AU29)-AU32</f>
        <v>0</v>
      </c>
      <c r="AV30" s="8">
        <f t="shared" si="38"/>
        <v>-3</v>
      </c>
      <c r="AW30" s="8">
        <f t="shared" si="38"/>
        <v>-3</v>
      </c>
      <c r="AX30" s="8">
        <f t="shared" si="38"/>
        <v>0</v>
      </c>
      <c r="AY30" s="8">
        <f t="shared" si="38"/>
        <v>-3</v>
      </c>
      <c r="AZ30" s="8">
        <f t="shared" si="38"/>
        <v>-3</v>
      </c>
      <c r="BA30" s="45">
        <f t="shared" si="38"/>
        <v>0</v>
      </c>
      <c r="BB30" s="45">
        <f t="shared" si="38"/>
        <v>-3</v>
      </c>
      <c r="BC30" s="8"/>
    </row>
    <row r="31" spans="1:5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47">
        <v>-3</v>
      </c>
      <c r="AE31" s="12"/>
      <c r="AF31" s="103">
        <v>0</v>
      </c>
      <c r="AG31" s="103">
        <v>-3</v>
      </c>
      <c r="AH31" s="103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8">
        <v>0</v>
      </c>
      <c r="AV31" s="8">
        <v>-3</v>
      </c>
      <c r="AW31" s="8">
        <v>-3</v>
      </c>
      <c r="AX31" s="8">
        <v>0</v>
      </c>
      <c r="AY31" s="8">
        <v>-3</v>
      </c>
      <c r="AZ31" s="8">
        <v>-3</v>
      </c>
      <c r="BA31" s="45">
        <v>0</v>
      </c>
      <c r="BB31" s="45">
        <v>-3</v>
      </c>
      <c r="BC31" s="8"/>
    </row>
    <row r="32" spans="1:55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03">
        <v>0</v>
      </c>
      <c r="AG32" s="103">
        <v>0</v>
      </c>
      <c r="AH32" s="10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45">
        <v>0</v>
      </c>
      <c r="BB32" s="45">
        <v>0</v>
      </c>
      <c r="BC32" s="8"/>
    </row>
    <row r="33" spans="1:55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03">
        <v>0</v>
      </c>
      <c r="AG33" s="103">
        <v>0</v>
      </c>
      <c r="AH33" s="10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45">
        <v>0</v>
      </c>
      <c r="BB33" s="45">
        <v>0</v>
      </c>
      <c r="BC33" s="8"/>
    </row>
    <row r="34" spans="1:55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03">
        <v>1</v>
      </c>
      <c r="AG34" s="103">
        <v>1</v>
      </c>
      <c r="AH34" s="103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  <c r="AX34" s="8">
        <v>1</v>
      </c>
      <c r="AY34" s="8">
        <v>1</v>
      </c>
      <c r="AZ34" s="8">
        <v>1</v>
      </c>
      <c r="BA34" s="45">
        <v>1</v>
      </c>
      <c r="BB34" s="45">
        <v>1</v>
      </c>
      <c r="BC34" s="8"/>
    </row>
    <row r="35" spans="1:5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103">
        <v>7</v>
      </c>
      <c r="AG35" s="103">
        <v>7</v>
      </c>
      <c r="AH35" s="103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8">
        <v>7</v>
      </c>
      <c r="AX35" s="8">
        <v>7</v>
      </c>
      <c r="AY35" s="8">
        <v>7</v>
      </c>
      <c r="AZ35" s="8">
        <v>7</v>
      </c>
      <c r="BA35" s="45">
        <v>7</v>
      </c>
      <c r="BB35" s="45">
        <v>7</v>
      </c>
      <c r="BC35" s="8"/>
    </row>
    <row r="36" spans="1:5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103">
        <v>-174</v>
      </c>
      <c r="AG36" s="103">
        <v>-174</v>
      </c>
      <c r="AH36" s="103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8">
        <v>-174</v>
      </c>
      <c r="AX36" s="8">
        <v>-174</v>
      </c>
      <c r="AY36" s="8">
        <v>-174</v>
      </c>
      <c r="AZ36" s="8">
        <v>-174</v>
      </c>
      <c r="BA36" s="45">
        <v>-174</v>
      </c>
      <c r="BB36" s="45">
        <v>-174</v>
      </c>
      <c r="BC36" s="8"/>
    </row>
    <row r="37" spans="1:5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/>
      <c r="AF37" s="103" t="s">
        <v>16</v>
      </c>
      <c r="AG37" s="103" t="s">
        <v>16</v>
      </c>
      <c r="AH37" s="103" t="s">
        <v>16</v>
      </c>
      <c r="AI37" s="12" t="s">
        <v>16</v>
      </c>
      <c r="AJ37" s="12" t="s">
        <v>16</v>
      </c>
      <c r="AK37" s="12" t="s">
        <v>16</v>
      </c>
      <c r="AL37" s="12" t="s">
        <v>16</v>
      </c>
      <c r="AM37" s="12" t="s">
        <v>16</v>
      </c>
      <c r="AN37" s="12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8" t="s">
        <v>16</v>
      </c>
      <c r="AU37" s="8" t="s">
        <v>16</v>
      </c>
      <c r="AV37" s="8" t="s">
        <v>16</v>
      </c>
      <c r="AW37" s="8" t="s">
        <v>16</v>
      </c>
      <c r="AX37" s="8" t="s">
        <v>16</v>
      </c>
      <c r="AY37" s="8" t="s">
        <v>16</v>
      </c>
      <c r="AZ37" s="8" t="s">
        <v>16</v>
      </c>
      <c r="BA37" s="45" t="s">
        <v>16</v>
      </c>
      <c r="BB37" s="45" t="s">
        <v>16</v>
      </c>
      <c r="BC37" s="8"/>
    </row>
    <row r="38" spans="1:5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  <c r="AC38" s="82">
        <v>-169.3</v>
      </c>
      <c r="AD38" s="82">
        <v>-169.3</v>
      </c>
      <c r="AE38" s="82"/>
      <c r="AF38" s="109">
        <v>-169.3</v>
      </c>
      <c r="AG38" s="109">
        <v>-169.3</v>
      </c>
      <c r="AH38" s="109">
        <v>-169.3</v>
      </c>
      <c r="AI38" s="82">
        <v>-169.3</v>
      </c>
      <c r="AJ38" s="82">
        <v>-169.3</v>
      </c>
      <c r="AK38" s="82">
        <v>-169.3</v>
      </c>
      <c r="AL38" s="82">
        <v>-999</v>
      </c>
      <c r="AM38" s="82">
        <v>-999</v>
      </c>
      <c r="AN38" s="82">
        <v>-999</v>
      </c>
      <c r="AO38" s="82">
        <v>-169.3</v>
      </c>
      <c r="AP38" s="82">
        <v>-169.3</v>
      </c>
      <c r="AQ38" s="82">
        <v>-169.3</v>
      </c>
      <c r="AR38" s="82">
        <v>-999</v>
      </c>
      <c r="AS38" s="82">
        <v>-999</v>
      </c>
      <c r="AT38" s="82">
        <v>-999</v>
      </c>
      <c r="AU38" s="82">
        <v>-999</v>
      </c>
      <c r="AV38" s="82">
        <v>-999</v>
      </c>
      <c r="AW38" s="82">
        <v>-999</v>
      </c>
      <c r="AX38" s="82">
        <v>-169.3</v>
      </c>
      <c r="AY38" s="82">
        <v>-169.3</v>
      </c>
      <c r="AZ38" s="82">
        <v>-169.3</v>
      </c>
      <c r="BA38" s="83">
        <v>-999</v>
      </c>
      <c r="BB38" s="83">
        <v>-999</v>
      </c>
      <c r="BC38" s="82"/>
    </row>
    <row r="39" spans="1:55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/>
      <c r="AF39" s="104" t="s">
        <v>16</v>
      </c>
      <c r="AG39" s="104" t="s">
        <v>16</v>
      </c>
      <c r="AH39" s="104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" t="s">
        <v>16</v>
      </c>
      <c r="AU39" s="9" t="s">
        <v>16</v>
      </c>
      <c r="AV39" s="9" t="s">
        <v>16</v>
      </c>
      <c r="AW39" s="9" t="s">
        <v>16</v>
      </c>
      <c r="AX39" s="9" t="s">
        <v>16</v>
      </c>
      <c r="AY39" s="9" t="s">
        <v>16</v>
      </c>
      <c r="AZ39" s="9" t="s">
        <v>16</v>
      </c>
      <c r="BA39" s="88" t="s">
        <v>16</v>
      </c>
      <c r="BB39" s="88" t="s">
        <v>16</v>
      </c>
      <c r="BC39" s="9"/>
    </row>
    <row r="40" spans="1:55" ht="27.6">
      <c r="A40" s="7" t="s">
        <v>107</v>
      </c>
      <c r="B40" s="12">
        <f t="shared" ref="B40:G40" si="39">10*LOG10(10^((B35+B36)/10)+10^(B38/10))</f>
        <v>-167.00000000000003</v>
      </c>
      <c r="C40" s="12">
        <f t="shared" si="39"/>
        <v>-167.00000000000003</v>
      </c>
      <c r="D40" s="12">
        <f t="shared" si="39"/>
        <v>-167.00000000000003</v>
      </c>
      <c r="E40" s="12">
        <f t="shared" si="39"/>
        <v>-167.00000000000003</v>
      </c>
      <c r="F40" s="12"/>
      <c r="G40" s="12">
        <f t="shared" si="39"/>
        <v>-167.00000000000003</v>
      </c>
      <c r="H40" s="71">
        <f t="shared" ref="H40:M40" si="40">10*LOG10(10^((H35+H36)/10)+10^(H38/10))</f>
        <v>-167.00000000000003</v>
      </c>
      <c r="I40" s="71">
        <f t="shared" si="40"/>
        <v>-167.00000000000003</v>
      </c>
      <c r="J40" s="71">
        <f t="shared" si="40"/>
        <v>-167.00000000000003</v>
      </c>
      <c r="K40" s="12">
        <f t="shared" si="40"/>
        <v>-167.00000000000003</v>
      </c>
      <c r="L40" s="12">
        <f t="shared" si="40"/>
        <v>-167.00000000000003</v>
      </c>
      <c r="M40" s="12">
        <f t="shared" si="40"/>
        <v>-167.00000000000003</v>
      </c>
      <c r="N40" s="12">
        <f t="shared" ref="N40:S40" si="41">10*LOG10(10^((N35+N36)/10)+10^(N38/10))</f>
        <v>-164.98918835931039</v>
      </c>
      <c r="O40" s="12">
        <f t="shared" si="41"/>
        <v>-164.98918835931039</v>
      </c>
      <c r="P40" s="12">
        <f t="shared" si="41"/>
        <v>-164.98918835931039</v>
      </c>
      <c r="Q40" s="12">
        <f t="shared" si="41"/>
        <v>-167.00000000000003</v>
      </c>
      <c r="R40" s="12">
        <f t="shared" si="41"/>
        <v>-167.00000000000003</v>
      </c>
      <c r="S40" s="12">
        <f t="shared" si="41"/>
        <v>-167.00000000000003</v>
      </c>
      <c r="T40" s="8">
        <f t="shared" ref="T40:Y40" si="42">10*LOG10(10^((T35+T36)/10)+10^(T38/10))</f>
        <v>-167.00000000000003</v>
      </c>
      <c r="U40" s="8">
        <f t="shared" si="42"/>
        <v>-167.00000000000003</v>
      </c>
      <c r="V40" s="8">
        <f t="shared" si="42"/>
        <v>-167.00000000000003</v>
      </c>
      <c r="W40" s="8">
        <f t="shared" si="42"/>
        <v>-164.98918835931039</v>
      </c>
      <c r="X40" s="8">
        <f t="shared" si="42"/>
        <v>-164.98918835931039</v>
      </c>
      <c r="Y40" s="8">
        <f t="shared" si="42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/>
      <c r="AF40" s="103">
        <f>10*LOG10(10^((AF35+AF36)/10)+10^(AF38/10))</f>
        <v>-164.98918835931039</v>
      </c>
      <c r="AG40" s="103">
        <f>10*LOG10(10^((AG35+AG36)/10)+10^(AG38/10))</f>
        <v>-164.98918835931039</v>
      </c>
      <c r="AH40" s="103">
        <f>10*LOG10(10^((AH35+AH36)/10)+10^(AH38/10))</f>
        <v>-164.98918835931039</v>
      </c>
      <c r="AI40" s="12">
        <f t="shared" ref="AF40:AK40" si="43">10*LOG10(10^((AI35+AI36)/10)+10^(AI38/10))</f>
        <v>-164.98918835931039</v>
      </c>
      <c r="AJ40" s="12">
        <f t="shared" si="43"/>
        <v>-164.98918835931039</v>
      </c>
      <c r="AK40" s="12">
        <f t="shared" si="43"/>
        <v>-164.98918835931039</v>
      </c>
      <c r="AL40" s="12">
        <f>10*LOG10(10^((AL35+AL36)/10)+10^(AL38/10))</f>
        <v>-167.00000000000003</v>
      </c>
      <c r="AM40" s="12">
        <f>10*LOG10(10^((AM35+AM36)/10)+10^(AM38/10))</f>
        <v>-167.00000000000003</v>
      </c>
      <c r="AN40" s="12">
        <f>10*LOG10(10^((AN35+AN36)/10)+10^(AN38/10))</f>
        <v>-167.00000000000003</v>
      </c>
      <c r="AO40" s="8">
        <f t="shared" ref="AO40:AQ40" si="44">10*LOG10(10^((AO35+AO36)/10)+10^(AO38/10))</f>
        <v>-164.98918835931039</v>
      </c>
      <c r="AP40" s="8">
        <f t="shared" si="44"/>
        <v>-164.98918835931039</v>
      </c>
      <c r="AQ40" s="8">
        <f t="shared" si="44"/>
        <v>-164.98918835931039</v>
      </c>
      <c r="AR40" s="8">
        <f>10*LOG10(10^((AR35+AR36)/10)+10^(AR38/10))</f>
        <v>-167.00000000000003</v>
      </c>
      <c r="AS40" s="8">
        <f>10*LOG10(10^((AS35+AS36)/10)+10^(AS38/10))</f>
        <v>-167.00000000000003</v>
      </c>
      <c r="AT40" s="8">
        <f>10*LOG10(10^((AT35+AT36)/10)+10^(AT38/10))</f>
        <v>-167.00000000000003</v>
      </c>
      <c r="AU40" s="8">
        <f t="shared" ref="AU40:BB40" si="45">10*LOG10(10^((AU35+AU36)/10)+10^(AU38/10))</f>
        <v>-167.00000000000003</v>
      </c>
      <c r="AV40" s="8">
        <f t="shared" si="45"/>
        <v>-167.00000000000003</v>
      </c>
      <c r="AW40" s="8">
        <f t="shared" si="45"/>
        <v>-167.00000000000003</v>
      </c>
      <c r="AX40" s="8">
        <f t="shared" si="45"/>
        <v>-164.98918835931039</v>
      </c>
      <c r="AY40" s="8">
        <f t="shared" si="45"/>
        <v>-164.98918835931039</v>
      </c>
      <c r="AZ40" s="8">
        <f t="shared" si="45"/>
        <v>-164.98918835931039</v>
      </c>
      <c r="BA40" s="45">
        <f t="shared" si="45"/>
        <v>-167.00000000000003</v>
      </c>
      <c r="BB40" s="45">
        <f t="shared" si="45"/>
        <v>-167.00000000000003</v>
      </c>
      <c r="BC40" s="8"/>
    </row>
    <row r="41" spans="1:5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/>
      <c r="AF41" s="103" t="s">
        <v>16</v>
      </c>
      <c r="AG41" s="103" t="s">
        <v>16</v>
      </c>
      <c r="AH41" s="103" t="s">
        <v>16</v>
      </c>
      <c r="AI41" s="12" t="s">
        <v>16</v>
      </c>
      <c r="AJ41" s="12" t="s">
        <v>16</v>
      </c>
      <c r="AK41" s="12" t="s">
        <v>16</v>
      </c>
      <c r="AL41" s="12" t="s">
        <v>16</v>
      </c>
      <c r="AM41" s="12" t="s">
        <v>16</v>
      </c>
      <c r="AN41" s="12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  <c r="AU41" s="8" t="s">
        <v>16</v>
      </c>
      <c r="AV41" s="8" t="s">
        <v>16</v>
      </c>
      <c r="AW41" s="8" t="s">
        <v>16</v>
      </c>
      <c r="AX41" s="8" t="s">
        <v>16</v>
      </c>
      <c r="AY41" s="8" t="s">
        <v>16</v>
      </c>
      <c r="AZ41" s="8" t="s">
        <v>16</v>
      </c>
      <c r="BA41" s="45" t="s">
        <v>16</v>
      </c>
      <c r="BB41" s="45" t="s">
        <v>16</v>
      </c>
      <c r="BC41" s="8"/>
    </row>
    <row r="42" spans="1:55">
      <c r="A42" s="28" t="s">
        <v>70</v>
      </c>
      <c r="B42" s="18">
        <f>90*360*1000</f>
        <v>32400000</v>
      </c>
      <c r="C42" s="18">
        <f t="shared" ref="C42:D42" si="46">18*360*1000</f>
        <v>6480000</v>
      </c>
      <c r="D42" s="18">
        <f t="shared" si="46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  <c r="AC42" s="16">
        <f>272*360*1000</f>
        <v>97920000</v>
      </c>
      <c r="AD42" s="16">
        <f>51*360*1000</f>
        <v>18360000</v>
      </c>
      <c r="AE42" s="16"/>
      <c r="AF42" s="107">
        <f>100*360*1000</f>
        <v>36000000</v>
      </c>
      <c r="AG42" s="107">
        <f>20*360*1000</f>
        <v>7200000</v>
      </c>
      <c r="AH42" s="107">
        <f>20*360*1000</f>
        <v>7200000</v>
      </c>
      <c r="AI42" s="16">
        <f>237*360*1000</f>
        <v>85320000</v>
      </c>
      <c r="AJ42" s="16">
        <f>49*360*1000</f>
        <v>17640000</v>
      </c>
      <c r="AK42" s="16">
        <f>49*360*1000</f>
        <v>17640000</v>
      </c>
      <c r="AL42" s="16">
        <f>200*360*1000</f>
        <v>72000000</v>
      </c>
      <c r="AM42" s="16">
        <f>51*360*1000</f>
        <v>18360000</v>
      </c>
      <c r="AN42" s="16">
        <f>51*360*1000</f>
        <v>18360000</v>
      </c>
      <c r="AO42" s="16">
        <f>41*360*1000</f>
        <v>14760000</v>
      </c>
      <c r="AP42" s="16">
        <f>41*360*1000</f>
        <v>14760000</v>
      </c>
      <c r="AQ42" s="16">
        <f>41*360*1000</f>
        <v>14760000</v>
      </c>
      <c r="AR42" s="16">
        <f>200*360*1000</f>
        <v>72000000</v>
      </c>
      <c r="AS42" s="16">
        <f>51*360*1000</f>
        <v>18360000</v>
      </c>
      <c r="AT42" s="16">
        <f>51*360*1000</f>
        <v>18360000</v>
      </c>
      <c r="AU42" s="16">
        <f>237*360*1000</f>
        <v>85320000</v>
      </c>
      <c r="AV42" s="16">
        <f>48*360*1000</f>
        <v>17280000</v>
      </c>
      <c r="AW42" s="16">
        <f>48*360*1000</f>
        <v>17280000</v>
      </c>
      <c r="AX42" s="16">
        <f>216*360*1000</f>
        <v>77760000</v>
      </c>
      <c r="AY42" s="16">
        <f>51*360*1000</f>
        <v>18360000</v>
      </c>
      <c r="AZ42" s="16">
        <f>51*360*1000</f>
        <v>18360000</v>
      </c>
      <c r="BA42" s="52">
        <f>200*360*1000</f>
        <v>72000000</v>
      </c>
      <c r="BB42" s="52">
        <f>51*360*1000</f>
        <v>18360000</v>
      </c>
      <c r="BC42" s="16"/>
    </row>
    <row r="43" spans="1:5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/>
      <c r="AF43" s="103" t="s">
        <v>16</v>
      </c>
      <c r="AG43" s="103" t="s">
        <v>16</v>
      </c>
      <c r="AH43" s="103" t="s">
        <v>16</v>
      </c>
      <c r="AI43" s="12" t="s">
        <v>16</v>
      </c>
      <c r="AJ43" s="12" t="s">
        <v>16</v>
      </c>
      <c r="AK43" s="12" t="s">
        <v>16</v>
      </c>
      <c r="AL43" s="12" t="s">
        <v>16</v>
      </c>
      <c r="AM43" s="12" t="s">
        <v>16</v>
      </c>
      <c r="AN43" s="12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  <c r="AU43" s="8" t="s">
        <v>16</v>
      </c>
      <c r="AV43" s="8" t="s">
        <v>16</v>
      </c>
      <c r="AW43" s="8" t="s">
        <v>16</v>
      </c>
      <c r="AX43" s="8" t="s">
        <v>16</v>
      </c>
      <c r="AY43" s="8" t="s">
        <v>16</v>
      </c>
      <c r="AZ43" s="8" t="s">
        <v>16</v>
      </c>
      <c r="BA43" s="45" t="s">
        <v>16</v>
      </c>
      <c r="BB43" s="45" t="s">
        <v>16</v>
      </c>
      <c r="BC43" s="8"/>
    </row>
    <row r="44" spans="1:55">
      <c r="A44" s="7" t="s">
        <v>72</v>
      </c>
      <c r="B44" s="12">
        <f t="shared" ref="B44:G44" si="47">B40+10*LOG10(B42)</f>
        <v>-91.894549897933913</v>
      </c>
      <c r="C44" s="12">
        <f t="shared" si="47"/>
        <v>-98.884249941294101</v>
      </c>
      <c r="D44" s="12">
        <f t="shared" si="47"/>
        <v>-98.884249941294101</v>
      </c>
      <c r="E44" s="12">
        <f t="shared" si="47"/>
        <v>-88.09243748081785</v>
      </c>
      <c r="F44" s="12"/>
      <c r="G44" s="12">
        <f t="shared" si="47"/>
        <v>-95.00244822746528</v>
      </c>
      <c r="H44" s="71">
        <f t="shared" ref="H44:M44" si="48">H40+10*LOG10(H42)</f>
        <v>-88.426675035687353</v>
      </c>
      <c r="I44" s="71">
        <f t="shared" si="48"/>
        <v>-94.361273231347795</v>
      </c>
      <c r="J44" s="71">
        <f t="shared" si="48"/>
        <v>-94.361273231347795</v>
      </c>
      <c r="K44" s="12">
        <f t="shared" si="48"/>
        <v>-87.075348521919594</v>
      </c>
      <c r="L44" s="12">
        <f t="shared" si="48"/>
        <v>-94.361273231347795</v>
      </c>
      <c r="M44" s="12">
        <f t="shared" si="48"/>
        <v>-94.361273231347795</v>
      </c>
      <c r="N44" s="12">
        <f t="shared" ref="N44:S44" si="49">N40+10*LOG10(N42)</f>
        <v>-89.173104698989818</v>
      </c>
      <c r="O44" s="12">
        <f t="shared" si="49"/>
        <v>-95.624050934521463</v>
      </c>
      <c r="P44" s="12">
        <f t="shared" si="49"/>
        <v>-95.624050934521463</v>
      </c>
      <c r="Q44" s="12">
        <f t="shared" si="49"/>
        <v>-88.426675035687353</v>
      </c>
      <c r="R44" s="12">
        <f t="shared" si="49"/>
        <v>-94.361273231347795</v>
      </c>
      <c r="S44" s="12">
        <f t="shared" si="49"/>
        <v>-94.361273231347795</v>
      </c>
      <c r="T44" s="8">
        <f t="shared" ref="T44:Y44" si="50">T40+10*LOG10(T42)</f>
        <v>-88.426675035687353</v>
      </c>
      <c r="U44" s="8">
        <f t="shared" si="50"/>
        <v>-94.361273231347795</v>
      </c>
      <c r="V44" s="8">
        <f t="shared" si="50"/>
        <v>-94.361273231347795</v>
      </c>
      <c r="W44" s="8">
        <f t="shared" si="50"/>
        <v>-85.064536881229955</v>
      </c>
      <c r="X44" s="8">
        <f t="shared" si="50"/>
        <v>-92.350461590658156</v>
      </c>
      <c r="Y44" s="8">
        <f t="shared" si="50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  <c r="AC44" s="12">
        <f>AC40+10*LOG10(AC42)</f>
        <v>-85.080474311295532</v>
      </c>
      <c r="AD44" s="12">
        <f>AD40+10*LOG10(AD42)</f>
        <v>-92.350461590658156</v>
      </c>
      <c r="AE44" s="12"/>
      <c r="AF44" s="103">
        <f>AF40+10*LOG10(AF42)</f>
        <v>-89.426163351637527</v>
      </c>
      <c r="AG44" s="103">
        <f>AG40+10*LOG10(AG42)</f>
        <v>-96.415863394997714</v>
      </c>
      <c r="AH44" s="103">
        <f>AH40+10*LOG10(AH42)</f>
        <v>-96.415863394997714</v>
      </c>
      <c r="AI44" s="12">
        <f t="shared" ref="AF44:AK44" si="51">AI40+10*LOG10(AI42)</f>
        <v>-85.678679891536476</v>
      </c>
      <c r="AJ44" s="12">
        <f t="shared" si="51"/>
        <v>-92.524202551352388</v>
      </c>
      <c r="AK44" s="12">
        <f t="shared" si="51"/>
        <v>-92.524202551352388</v>
      </c>
      <c r="AL44" s="12">
        <f>AL40+10*LOG10(AL42)</f>
        <v>-88.426675035687353</v>
      </c>
      <c r="AM44" s="12">
        <f>AM40+10*LOG10(AM42)</f>
        <v>-94.361273231347795</v>
      </c>
      <c r="AN44" s="12">
        <f>AN40+10*LOG10(AN42)</f>
        <v>-94.361273231347795</v>
      </c>
      <c r="AO44" s="8">
        <f t="shared" ref="AO44:AQ44" si="52">AO40+10*LOG10(AO42)</f>
        <v>-93.298324784440155</v>
      </c>
      <c r="AP44" s="8">
        <f t="shared" si="52"/>
        <v>-93.298324784440155</v>
      </c>
      <c r="AQ44" s="8">
        <f t="shared" si="52"/>
        <v>-93.298324784440155</v>
      </c>
      <c r="AR44" s="8">
        <f>AR40+10*LOG10(AR42)</f>
        <v>-88.426675035687353</v>
      </c>
      <c r="AS44" s="8">
        <f>AS40+10*LOG10(AS42)</f>
        <v>-94.361273231347795</v>
      </c>
      <c r="AT44" s="8">
        <f>AT40+10*LOG10(AT42)</f>
        <v>-94.361273231347795</v>
      </c>
      <c r="AU44" s="8">
        <f t="shared" ref="AU44:BB44" si="53">AU40+10*LOG10(AU42)</f>
        <v>-87.689491532226114</v>
      </c>
      <c r="AV44" s="8">
        <f t="shared" si="53"/>
        <v>-94.624562618571289</v>
      </c>
      <c r="AW44" s="8">
        <f t="shared" si="53"/>
        <v>-94.624562618571289</v>
      </c>
      <c r="AX44" s="8">
        <f t="shared" si="53"/>
        <v>-86.081625840128211</v>
      </c>
      <c r="AY44" s="8">
        <f t="shared" si="53"/>
        <v>-92.350461590658156</v>
      </c>
      <c r="AZ44" s="8">
        <f t="shared" si="53"/>
        <v>-92.350461590658156</v>
      </c>
      <c r="BA44" s="45">
        <f t="shared" si="53"/>
        <v>-88.426675035687353</v>
      </c>
      <c r="BB44" s="45">
        <f t="shared" si="53"/>
        <v>-94.361273231347795</v>
      </c>
      <c r="BC44" s="8"/>
    </row>
    <row r="45" spans="1:5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/>
      <c r="AF45" s="103" t="s">
        <v>16</v>
      </c>
      <c r="AG45" s="103" t="s">
        <v>16</v>
      </c>
      <c r="AH45" s="103" t="s">
        <v>16</v>
      </c>
      <c r="AI45" s="12" t="s">
        <v>16</v>
      </c>
      <c r="AJ45" s="12" t="s">
        <v>16</v>
      </c>
      <c r="AK45" s="12" t="s">
        <v>16</v>
      </c>
      <c r="AL45" s="12" t="s">
        <v>16</v>
      </c>
      <c r="AM45" s="12" t="s">
        <v>16</v>
      </c>
      <c r="AN45" s="12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8" t="s">
        <v>16</v>
      </c>
      <c r="AU45" s="8" t="s">
        <v>16</v>
      </c>
      <c r="AV45" s="8" t="s">
        <v>16</v>
      </c>
      <c r="AW45" s="8" t="s">
        <v>16</v>
      </c>
      <c r="AX45" s="8" t="s">
        <v>16</v>
      </c>
      <c r="AY45" s="8" t="s">
        <v>16</v>
      </c>
      <c r="AZ45" s="8" t="s">
        <v>16</v>
      </c>
      <c r="BA45" s="45" t="s">
        <v>16</v>
      </c>
      <c r="BB45" s="45" t="s">
        <v>16</v>
      </c>
      <c r="BC45" s="8"/>
    </row>
    <row r="46" spans="1:55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  <c r="AC46" s="16">
        <v>-9.9</v>
      </c>
      <c r="AD46" s="16">
        <v>-7.3</v>
      </c>
      <c r="AE46" s="16"/>
      <c r="AF46" s="107">
        <v>-4.2</v>
      </c>
      <c r="AG46" s="107">
        <v>-0.9</v>
      </c>
      <c r="AH46" s="107">
        <v>2.9</v>
      </c>
      <c r="AI46" s="16">
        <v>-7.48</v>
      </c>
      <c r="AJ46" s="16">
        <v>-3.14</v>
      </c>
      <c r="AK46" s="16">
        <v>0.7</v>
      </c>
      <c r="AL46" s="16">
        <v>-8.1</v>
      </c>
      <c r="AM46" s="16">
        <v>-5.0999999999999996</v>
      </c>
      <c r="AN46" s="16">
        <v>-2.1</v>
      </c>
      <c r="AO46" s="16">
        <v>-7.1</v>
      </c>
      <c r="AP46" s="16">
        <v>-3.6</v>
      </c>
      <c r="AQ46" s="16">
        <v>1</v>
      </c>
      <c r="AR46" s="16">
        <v>-5.7</v>
      </c>
      <c r="AS46" s="16">
        <v>-2.7</v>
      </c>
      <c r="AT46" s="16">
        <v>0.5</v>
      </c>
      <c r="AU46" s="16">
        <v>-7.87</v>
      </c>
      <c r="AV46" s="16">
        <v>-5.2</v>
      </c>
      <c r="AW46" s="16">
        <v>-2.27</v>
      </c>
      <c r="AX46" s="16">
        <v>-6.6</v>
      </c>
      <c r="AY46" s="16">
        <v>-4</v>
      </c>
      <c r="AZ46" s="16">
        <v>-0.9</v>
      </c>
      <c r="BA46" s="52">
        <v>-7.8</v>
      </c>
      <c r="BB46" s="52">
        <v>-4.9000000000000004</v>
      </c>
      <c r="BC46" s="16"/>
    </row>
    <row r="47" spans="1:5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03">
        <v>2</v>
      </c>
      <c r="AG47" s="103">
        <v>2</v>
      </c>
      <c r="AH47" s="103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  <c r="AX47" s="8">
        <v>2</v>
      </c>
      <c r="AY47" s="8">
        <v>2</v>
      </c>
      <c r="AZ47" s="8">
        <v>2</v>
      </c>
      <c r="BA47" s="45">
        <v>2</v>
      </c>
      <c r="BB47" s="45">
        <v>2</v>
      </c>
      <c r="BC47" s="8"/>
    </row>
    <row r="48" spans="1:55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/>
      <c r="AF48" s="103" t="s">
        <v>16</v>
      </c>
      <c r="AG48" s="103" t="s">
        <v>16</v>
      </c>
      <c r="AH48" s="103" t="s">
        <v>16</v>
      </c>
      <c r="AI48" s="12" t="s">
        <v>16</v>
      </c>
      <c r="AJ48" s="12" t="s">
        <v>16</v>
      </c>
      <c r="AK48" s="12" t="s">
        <v>16</v>
      </c>
      <c r="AL48" s="12" t="s">
        <v>16</v>
      </c>
      <c r="AM48" s="12" t="s">
        <v>16</v>
      </c>
      <c r="AN48" s="12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8" t="s">
        <v>16</v>
      </c>
      <c r="AU48" s="8" t="s">
        <v>16</v>
      </c>
      <c r="AV48" s="8" t="s">
        <v>16</v>
      </c>
      <c r="AW48" s="8" t="s">
        <v>16</v>
      </c>
      <c r="AX48" s="8" t="s">
        <v>16</v>
      </c>
      <c r="AY48" s="8" t="s">
        <v>16</v>
      </c>
      <c r="AZ48" s="8" t="s">
        <v>16</v>
      </c>
      <c r="BA48" s="45" t="s">
        <v>16</v>
      </c>
      <c r="BB48" s="45" t="s">
        <v>16</v>
      </c>
      <c r="BC48" s="8"/>
    </row>
    <row r="49" spans="1:5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/>
      <c r="AF49" s="103">
        <v>0</v>
      </c>
      <c r="AG49" s="103">
        <v>0</v>
      </c>
      <c r="AH49" s="103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45">
        <v>0</v>
      </c>
      <c r="BB49" s="45">
        <v>0</v>
      </c>
      <c r="BC49" s="8"/>
    </row>
    <row r="50" spans="1:55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/>
      <c r="AF50" s="104" t="s">
        <v>16</v>
      </c>
      <c r="AG50" s="104" t="s">
        <v>16</v>
      </c>
      <c r="AH50" s="104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" t="s">
        <v>16</v>
      </c>
      <c r="AU50" s="9" t="s">
        <v>16</v>
      </c>
      <c r="AV50" s="9" t="s">
        <v>16</v>
      </c>
      <c r="AW50" s="9" t="s">
        <v>16</v>
      </c>
      <c r="AX50" s="9" t="s">
        <v>16</v>
      </c>
      <c r="AY50" s="9" t="s">
        <v>16</v>
      </c>
      <c r="AZ50" s="9" t="s">
        <v>16</v>
      </c>
      <c r="BA50" s="88" t="s">
        <v>16</v>
      </c>
      <c r="BB50" s="88" t="s">
        <v>16</v>
      </c>
      <c r="BC50" s="9"/>
    </row>
    <row r="51" spans="1:55" ht="27.6">
      <c r="A51" s="7" t="s">
        <v>82</v>
      </c>
      <c r="B51" s="12">
        <f t="shared" ref="B51:G51" si="54">B44+B46+B47-B49</f>
        <v>-94.694549897933911</v>
      </c>
      <c r="C51" s="12">
        <f t="shared" si="54"/>
        <v>-97.784249941294107</v>
      </c>
      <c r="D51" s="12">
        <f t="shared" si="54"/>
        <v>-92.984249941294095</v>
      </c>
      <c r="E51" s="12">
        <f t="shared" si="54"/>
        <v>-97.872437480817851</v>
      </c>
      <c r="F51" s="12"/>
      <c r="G51" s="12">
        <f t="shared" si="54"/>
        <v>-100.90244822746529</v>
      </c>
      <c r="H51" s="71">
        <f t="shared" ref="H51:M51" si="55">H44+H46+H47-H49</f>
        <v>-97.576675035687359</v>
      </c>
      <c r="I51" s="71">
        <f t="shared" si="55"/>
        <v>-101.2312732313478</v>
      </c>
      <c r="J51" s="71">
        <f t="shared" si="55"/>
        <v>-98.6212732313478</v>
      </c>
      <c r="K51" s="12">
        <f t="shared" si="55"/>
        <v>-93.875348521919591</v>
      </c>
      <c r="L51" s="12">
        <f t="shared" si="55"/>
        <v>-98.24127323134779</v>
      </c>
      <c r="M51" s="12">
        <f t="shared" si="55"/>
        <v>-94.391273231347796</v>
      </c>
      <c r="N51" s="12">
        <f t="shared" ref="N51:S51" si="56">N44+N46+N47-N49</f>
        <v>-91.963104698989824</v>
      </c>
      <c r="O51" s="12">
        <f t="shared" si="56"/>
        <v>-94.394050934521459</v>
      </c>
      <c r="P51" s="12">
        <f t="shared" si="56"/>
        <v>-90.084050934521457</v>
      </c>
      <c r="Q51" s="12">
        <f t="shared" si="56"/>
        <v>-96.026675035687347</v>
      </c>
      <c r="R51" s="12">
        <f t="shared" si="56"/>
        <v>-97.461273231347789</v>
      </c>
      <c r="S51" s="12">
        <f t="shared" si="56"/>
        <v>-93.861273231347795</v>
      </c>
      <c r="T51" s="8">
        <f t="shared" ref="T51:Y51" si="57">T44+T46+T47-T49</f>
        <v>-91.926675035687353</v>
      </c>
      <c r="U51" s="8">
        <f t="shared" si="57"/>
        <v>-95.861273231347795</v>
      </c>
      <c r="V51" s="8">
        <f t="shared" si="57"/>
        <v>-93.861273231347795</v>
      </c>
      <c r="W51" s="8">
        <f t="shared" si="57"/>
        <v>-90.064536881229955</v>
      </c>
      <c r="X51" s="8">
        <f t="shared" si="57"/>
        <v>-93.850461590658156</v>
      </c>
      <c r="Y51" s="8">
        <f t="shared" si="57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  <c r="AC51" s="12">
        <f>AC44+AC46+AC47-AC49</f>
        <v>-92.980474311295538</v>
      </c>
      <c r="AD51" s="12">
        <f>AD44+AD46+AD47-AD49</f>
        <v>-97.650461590658153</v>
      </c>
      <c r="AE51" s="12"/>
      <c r="AF51" s="103">
        <f>AF44+AF46+AF47-AF49</f>
        <v>-91.62616335163753</v>
      </c>
      <c r="AG51" s="103">
        <f>AG44+AG46+AG47-AG49</f>
        <v>-95.31586339499772</v>
      </c>
      <c r="AH51" s="103">
        <f>AH44+AH46+AH47-AH49</f>
        <v>-91.515863394997709</v>
      </c>
      <c r="AI51" s="12">
        <f t="shared" ref="AF51:AK51" si="58">AI44+AI46+AI47-AI49</f>
        <v>-91.15867989153648</v>
      </c>
      <c r="AJ51" s="12">
        <f t="shared" si="58"/>
        <v>-93.664202551352389</v>
      </c>
      <c r="AK51" s="12">
        <f t="shared" si="58"/>
        <v>-89.824202551352386</v>
      </c>
      <c r="AL51" s="12">
        <f>AL44+AL46+AL47-AL49</f>
        <v>-94.526675035687347</v>
      </c>
      <c r="AM51" s="12">
        <f>AM44+AM46+AM47-AM49</f>
        <v>-97.461273231347789</v>
      </c>
      <c r="AN51" s="12">
        <f>AN44+AN46+AN47-AN49</f>
        <v>-94.461273231347789</v>
      </c>
      <c r="AO51" s="8">
        <f t="shared" ref="AO51:AQ51" si="59">AO44+AO46+AO47-AO49</f>
        <v>-98.398324784440149</v>
      </c>
      <c r="AP51" s="8">
        <f t="shared" si="59"/>
        <v>-94.898324784440149</v>
      </c>
      <c r="AQ51" s="8">
        <f t="shared" si="59"/>
        <v>-90.298324784440155</v>
      </c>
      <c r="AR51" s="8">
        <f>AR44+AR46+AR47-AR49</f>
        <v>-92.126675035687356</v>
      </c>
      <c r="AS51" s="8">
        <f>AS44+AS46+AS47-AS49</f>
        <v>-95.061273231347798</v>
      </c>
      <c r="AT51" s="8">
        <f>AT44+AT46+AT47-AT49</f>
        <v>-91.861273231347795</v>
      </c>
      <c r="AU51" s="8">
        <f t="shared" ref="AU51:BB51" si="60">AU44+AU46+AU47-AU49</f>
        <v>-93.559491532226119</v>
      </c>
      <c r="AV51" s="8">
        <f t="shared" si="60"/>
        <v>-97.824562618571292</v>
      </c>
      <c r="AW51" s="8">
        <f t="shared" si="60"/>
        <v>-94.894562618571285</v>
      </c>
      <c r="AX51" s="8">
        <f t="shared" si="60"/>
        <v>-90.681625840128206</v>
      </c>
      <c r="AY51" s="8">
        <f t="shared" si="60"/>
        <v>-94.350461590658156</v>
      </c>
      <c r="AZ51" s="8">
        <f t="shared" si="60"/>
        <v>-91.250461590658162</v>
      </c>
      <c r="BA51" s="45">
        <f t="shared" si="60"/>
        <v>-94.22667503568735</v>
      </c>
      <c r="BB51" s="45">
        <f t="shared" si="60"/>
        <v>-97.261273231347801</v>
      </c>
      <c r="BC51" s="8"/>
    </row>
    <row r="52" spans="1:55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 t="s">
        <v>16</v>
      </c>
      <c r="AE52" s="24"/>
      <c r="AF52" s="110" t="s">
        <v>16</v>
      </c>
      <c r="AG52" s="110" t="s">
        <v>16</v>
      </c>
      <c r="AH52" s="110" t="s">
        <v>16</v>
      </c>
      <c r="AI52" s="24" t="s">
        <v>16</v>
      </c>
      <c r="AJ52" s="24" t="s">
        <v>16</v>
      </c>
      <c r="AK52" s="24" t="s">
        <v>16</v>
      </c>
      <c r="AL52" s="24" t="s">
        <v>16</v>
      </c>
      <c r="AM52" s="24" t="s">
        <v>16</v>
      </c>
      <c r="AN52" s="24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  <c r="AT52" s="85" t="s">
        <v>16</v>
      </c>
      <c r="AU52" s="85" t="s">
        <v>16</v>
      </c>
      <c r="AV52" s="85" t="s">
        <v>16</v>
      </c>
      <c r="AW52" s="85" t="s">
        <v>16</v>
      </c>
      <c r="AX52" s="85" t="s">
        <v>16</v>
      </c>
      <c r="AY52" s="85" t="s">
        <v>16</v>
      </c>
      <c r="AZ52" s="85" t="s">
        <v>16</v>
      </c>
      <c r="BA52" s="89" t="s">
        <v>16</v>
      </c>
      <c r="BB52" s="89" t="s">
        <v>16</v>
      </c>
      <c r="BC52" s="85"/>
    </row>
    <row r="53" spans="1:55" ht="27.6">
      <c r="A53" s="29" t="s">
        <v>85</v>
      </c>
      <c r="B53" s="22">
        <f>B26+B30+B33-B34-B51</f>
        <v>163.57121254719667</v>
      </c>
      <c r="C53" s="22">
        <f t="shared" ref="C53:G53" si="61">C26+C30+C33-C34-C51</f>
        <v>156.67121254719666</v>
      </c>
      <c r="D53" s="22">
        <f t="shared" si="61"/>
        <v>151.87121254719665</v>
      </c>
      <c r="E53" s="22">
        <f t="shared" si="61"/>
        <v>167.64121254719663</v>
      </c>
      <c r="F53" s="22"/>
      <c r="G53" s="22">
        <f t="shared" si="61"/>
        <v>160.76121254719664</v>
      </c>
      <c r="H53" s="76">
        <f>H26+H30+H33-H34-H51</f>
        <v>169.92121254719666</v>
      </c>
      <c r="I53" s="76">
        <f t="shared" ref="I53:J53" si="62">I26+I30+I33-I34-I51</f>
        <v>164.64121254719666</v>
      </c>
      <c r="J53" s="76">
        <f t="shared" si="62"/>
        <v>162.03121254719667</v>
      </c>
      <c r="K53" s="22">
        <f>K26+K30+K33-K34-K51</f>
        <v>167.57121254719664</v>
      </c>
      <c r="L53" s="22">
        <f t="shared" ref="L53:M53" si="63">L26+L30+L33-L34-L51</f>
        <v>161.65121254719665</v>
      </c>
      <c r="M53" s="22">
        <f t="shared" si="63"/>
        <v>157.80121254719666</v>
      </c>
      <c r="N53" s="22">
        <f>N26+N30+N33-N34-N51</f>
        <v>161.95190068970606</v>
      </c>
      <c r="O53" s="22">
        <f t="shared" ref="O53:P53" si="64">O26+O30+O33-O34-O51</f>
        <v>154.93190068970608</v>
      </c>
      <c r="P53" s="22">
        <f t="shared" si="64"/>
        <v>150.62190068970608</v>
      </c>
      <c r="Q53" s="22">
        <f>Q26+Q30+Q33-Q34-Q51</f>
        <v>168.37121254719665</v>
      </c>
      <c r="R53" s="22">
        <f t="shared" ref="R53:S53" si="65">R26+R30+R33-R34-R51</f>
        <v>160.87121254719665</v>
      </c>
      <c r="S53" s="22">
        <f t="shared" si="65"/>
        <v>157.27121254719665</v>
      </c>
      <c r="T53" s="22">
        <f>T26+T30+T33-T34-T51</f>
        <v>164.27121254719668</v>
      </c>
      <c r="U53" s="22">
        <f t="shared" ref="U53:V53" si="66">U26+U30+U33-U34-U51</f>
        <v>159.27121254719665</v>
      </c>
      <c r="V53" s="22">
        <f t="shared" si="66"/>
        <v>157.27121254719665</v>
      </c>
      <c r="W53" s="22">
        <f>W26+W30+W33-W34-W51</f>
        <v>166.81040090650703</v>
      </c>
      <c r="X53" s="22">
        <f t="shared" ref="X53:Y53" si="67">X26+X30+X33-X34-X51</f>
        <v>160.31040090650703</v>
      </c>
      <c r="Y53" s="22">
        <f t="shared" si="67"/>
        <v>156.81040090650703</v>
      </c>
      <c r="Z53" s="22">
        <f>Z26+Z30+Z33-Z34-Z51</f>
        <v>166.17121254719666</v>
      </c>
      <c r="AA53" s="22">
        <f t="shared" ref="AA53:AB53" si="68">AA26+AA30+AA33-AA34-AA51</f>
        <v>159.85121254719667</v>
      </c>
      <c r="AB53" s="22">
        <f t="shared" si="68"/>
        <v>155.69121254719664</v>
      </c>
      <c r="AC53" s="22">
        <f>AC26+AC30+AC33-AC34-AC51</f>
        <v>166.66040090650702</v>
      </c>
      <c r="AD53" s="22">
        <f t="shared" ref="AD53" si="69">AD26+AD30+AD33-AD34-AD51</f>
        <v>161.06040090650703</v>
      </c>
      <c r="AE53" s="22"/>
      <c r="AF53" s="108">
        <f>AF26+AF30+AF33-AF34-AF51</f>
        <v>160.96040090650703</v>
      </c>
      <c r="AG53" s="108">
        <f t="shared" ref="AG53:AH53" si="70">AG26+AG30+AG33-AG34-AG51</f>
        <v>154.66040090650705</v>
      </c>
      <c r="AH53" s="108">
        <f t="shared" si="70"/>
        <v>150.86040090650704</v>
      </c>
      <c r="AI53" s="22">
        <f>AI26+AI30+AI33-AI34-AI51</f>
        <v>164.24040090650703</v>
      </c>
      <c r="AJ53" s="22">
        <f t="shared" ref="AJ53:AK53" si="71">AJ26+AJ30+AJ33-AJ34-AJ51</f>
        <v>156.90040090650703</v>
      </c>
      <c r="AK53" s="22">
        <f t="shared" si="71"/>
        <v>153.06040090650703</v>
      </c>
      <c r="AL53" s="22">
        <f>AL26+AL30+AL33-AL34-AL51</f>
        <v>166.87121254719665</v>
      </c>
      <c r="AM53" s="22">
        <f t="shared" ref="AM53:AN53" si="72">AM26+AM30+AM33-AM34-AM51</f>
        <v>160.87121254719665</v>
      </c>
      <c r="AN53" s="22">
        <f t="shared" si="72"/>
        <v>157.87121254719665</v>
      </c>
      <c r="AO53" s="22">
        <f>AO26+AO30+AO33-AO34-AO51</f>
        <v>163.86040090650701</v>
      </c>
      <c r="AP53" s="22">
        <f t="shared" ref="AP53:AQ53" si="73">AP26+AP30+AP33-AP34-AP51</f>
        <v>157.36040090650701</v>
      </c>
      <c r="AQ53" s="22">
        <f t="shared" si="73"/>
        <v>152.76040090650702</v>
      </c>
      <c r="AR53" s="22">
        <f>AR26+AR30+AR33-AR34-AR51</f>
        <v>162.47121254719667</v>
      </c>
      <c r="AS53" s="22">
        <f t="shared" ref="AS53" si="74">AS26+AS30+AS33-AS34-AS51</f>
        <v>156.47121254719667</v>
      </c>
      <c r="AT53" s="22">
        <f>AT26+AT30+AT33-AT34-AT51</f>
        <v>153.27121254719665</v>
      </c>
      <c r="AU53" s="22">
        <f>AU26+AU30+AU33-AU34-AU51</f>
        <v>166.64121254719666</v>
      </c>
      <c r="AV53" s="22">
        <f t="shared" ref="AV53:AW53" si="75">AV26+AV30+AV33-AV34-AV51</f>
        <v>160.97121254719667</v>
      </c>
      <c r="AW53" s="22">
        <f t="shared" si="75"/>
        <v>158.04121254719666</v>
      </c>
      <c r="AX53" s="22">
        <f>AX26+AX30+AX33-AX34-AX51</f>
        <v>163.36040090650701</v>
      </c>
      <c r="AY53" s="22">
        <f t="shared" ref="AY53:AZ53" si="76">AY26+AY30+AY33-AY34-AY51</f>
        <v>157.76040090650702</v>
      </c>
      <c r="AZ53" s="22">
        <f t="shared" si="76"/>
        <v>154.66040090650702</v>
      </c>
      <c r="BA53" s="58">
        <f>BA26+BA30+BA33-BA34-BA51</f>
        <v>163.54121254719666</v>
      </c>
      <c r="BB53" s="58">
        <f t="shared" ref="BB53" si="77">BB26+BB30+BB33-BB34-BB51</f>
        <v>157.64121254719666</v>
      </c>
      <c r="BC53" s="22"/>
    </row>
    <row r="54" spans="1:55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06"/>
      <c r="AG54" s="106"/>
      <c r="AH54" s="106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51"/>
      <c r="BB54" s="51"/>
      <c r="BC54" s="13"/>
    </row>
    <row r="55" spans="1:5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109">
        <v>7</v>
      </c>
      <c r="AG55" s="109">
        <v>7</v>
      </c>
      <c r="AH55" s="109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  <c r="AU55" s="82">
        <v>7</v>
      </c>
      <c r="AV55" s="82">
        <v>7</v>
      </c>
      <c r="AW55" s="82">
        <v>7</v>
      </c>
      <c r="AX55" s="82">
        <v>7</v>
      </c>
      <c r="AY55" s="82">
        <v>7</v>
      </c>
      <c r="AZ55" s="82">
        <v>7</v>
      </c>
      <c r="BA55" s="83">
        <v>7</v>
      </c>
      <c r="BB55" s="83">
        <v>7</v>
      </c>
      <c r="BC55" s="82"/>
    </row>
    <row r="56" spans="1:55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 t="s">
        <v>16</v>
      </c>
      <c r="AE56" s="25"/>
      <c r="AF56" s="104" t="s">
        <v>16</v>
      </c>
      <c r="AG56" s="104" t="s">
        <v>16</v>
      </c>
      <c r="AH56" s="104" t="s">
        <v>16</v>
      </c>
      <c r="AI56" s="25" t="s">
        <v>16</v>
      </c>
      <c r="AJ56" s="25" t="s">
        <v>16</v>
      </c>
      <c r="AK56" s="25" t="s">
        <v>16</v>
      </c>
      <c r="AL56" s="25" t="s">
        <v>16</v>
      </c>
      <c r="AM56" s="25" t="s">
        <v>16</v>
      </c>
      <c r="AN56" s="25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" t="s">
        <v>16</v>
      </c>
      <c r="AU56" s="9" t="s">
        <v>16</v>
      </c>
      <c r="AV56" s="9" t="s">
        <v>16</v>
      </c>
      <c r="AW56" s="9" t="s">
        <v>16</v>
      </c>
      <c r="AX56" s="9" t="s">
        <v>16</v>
      </c>
      <c r="AY56" s="9" t="s">
        <v>16</v>
      </c>
      <c r="AZ56" s="9" t="s">
        <v>16</v>
      </c>
      <c r="BA56" s="88" t="s">
        <v>16</v>
      </c>
      <c r="BB56" s="88" t="s">
        <v>16</v>
      </c>
      <c r="BC56" s="9"/>
    </row>
    <row r="57" spans="1:55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/>
      <c r="AF57" s="109">
        <v>4.4800000000000004</v>
      </c>
      <c r="AG57" s="109">
        <v>4.4800000000000004</v>
      </c>
      <c r="AH57" s="109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  <c r="AT57" s="82">
        <v>4.4800000000000004</v>
      </c>
      <c r="AU57" s="82">
        <v>4.4800000000000004</v>
      </c>
      <c r="AV57" s="82">
        <v>4.4800000000000004</v>
      </c>
      <c r="AW57" s="82">
        <v>4.4800000000000004</v>
      </c>
      <c r="AX57" s="82">
        <v>4.4800000000000004</v>
      </c>
      <c r="AY57" s="82">
        <v>4.4800000000000004</v>
      </c>
      <c r="AZ57" s="82">
        <v>4.4800000000000004</v>
      </c>
      <c r="BA57" s="83">
        <v>4.4800000000000004</v>
      </c>
      <c r="BB57" s="83">
        <v>4.4800000000000004</v>
      </c>
      <c r="BC57" s="82"/>
    </row>
    <row r="58" spans="1:5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109">
        <v>0</v>
      </c>
      <c r="AG58" s="109">
        <v>0</v>
      </c>
      <c r="AH58" s="109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82">
        <v>0</v>
      </c>
      <c r="AV58" s="82">
        <v>0</v>
      </c>
      <c r="AW58" s="82">
        <v>0</v>
      </c>
      <c r="AX58" s="82">
        <v>0</v>
      </c>
      <c r="AY58" s="82">
        <v>0</v>
      </c>
      <c r="AZ58" s="82">
        <v>0</v>
      </c>
      <c r="BA58" s="83">
        <v>0</v>
      </c>
      <c r="BB58" s="83">
        <v>0</v>
      </c>
      <c r="BC58" s="82"/>
    </row>
    <row r="59" spans="1:5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109">
        <v>26.25</v>
      </c>
      <c r="AG59" s="109">
        <v>26.25</v>
      </c>
      <c r="AH59" s="109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  <c r="AU59" s="82">
        <v>26.25</v>
      </c>
      <c r="AV59" s="82">
        <v>26.25</v>
      </c>
      <c r="AW59" s="82">
        <v>26.25</v>
      </c>
      <c r="AX59" s="82">
        <v>26.25</v>
      </c>
      <c r="AY59" s="82">
        <v>26.25</v>
      </c>
      <c r="AZ59" s="82">
        <v>26.25</v>
      </c>
      <c r="BA59" s="83">
        <v>26.25</v>
      </c>
      <c r="BB59" s="83">
        <v>26.25</v>
      </c>
      <c r="BC59" s="82"/>
    </row>
    <row r="60" spans="1:5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109">
        <v>0</v>
      </c>
      <c r="AG60" s="109">
        <v>0</v>
      </c>
      <c r="AH60" s="109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  <c r="AU60" s="82">
        <v>0</v>
      </c>
      <c r="AV60" s="82">
        <v>0</v>
      </c>
      <c r="AW60" s="82">
        <v>0</v>
      </c>
      <c r="AX60" s="82">
        <v>0</v>
      </c>
      <c r="AY60" s="82">
        <v>0</v>
      </c>
      <c r="AZ60" s="82">
        <v>0</v>
      </c>
      <c r="BA60" s="83">
        <v>0</v>
      </c>
      <c r="BB60" s="83">
        <v>0</v>
      </c>
      <c r="BC60" s="82"/>
    </row>
    <row r="61" spans="1:55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 t="s">
        <v>16</v>
      </c>
      <c r="AE61" s="24"/>
      <c r="AF61" s="110" t="s">
        <v>16</v>
      </c>
      <c r="AG61" s="110" t="s">
        <v>16</v>
      </c>
      <c r="AH61" s="110" t="s">
        <v>16</v>
      </c>
      <c r="AI61" s="24" t="s">
        <v>16</v>
      </c>
      <c r="AJ61" s="24" t="s">
        <v>16</v>
      </c>
      <c r="AK61" s="24" t="s">
        <v>16</v>
      </c>
      <c r="AL61" s="24" t="s">
        <v>16</v>
      </c>
      <c r="AM61" s="24" t="s">
        <v>16</v>
      </c>
      <c r="AN61" s="24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  <c r="AT61" s="85" t="s">
        <v>16</v>
      </c>
      <c r="AU61" s="85" t="s">
        <v>16</v>
      </c>
      <c r="AV61" s="85" t="s">
        <v>16</v>
      </c>
      <c r="AW61" s="85" t="s">
        <v>16</v>
      </c>
      <c r="AX61" s="85" t="s">
        <v>16</v>
      </c>
      <c r="AY61" s="85" t="s">
        <v>16</v>
      </c>
      <c r="AZ61" s="85" t="s">
        <v>16</v>
      </c>
      <c r="BA61" s="89" t="s">
        <v>16</v>
      </c>
      <c r="BB61" s="89" t="s">
        <v>16</v>
      </c>
      <c r="BC61" s="85"/>
    </row>
    <row r="62" spans="1:55" ht="27.6">
      <c r="A62" s="29" t="s">
        <v>109</v>
      </c>
      <c r="B62" s="22">
        <f>B53-B57+B58-B59+B60</f>
        <v>132.84121254719668</v>
      </c>
      <c r="C62" s="22">
        <f t="shared" ref="C62:G62" si="78">C53-C57+C58-C59+C60</f>
        <v>125.94121254719667</v>
      </c>
      <c r="D62" s="22">
        <f t="shared" si="78"/>
        <v>121.14121254719666</v>
      </c>
      <c r="E62" s="22">
        <f t="shared" si="78"/>
        <v>136.91121254719664</v>
      </c>
      <c r="F62" s="22"/>
      <c r="G62" s="22">
        <f t="shared" si="78"/>
        <v>130.03121254719665</v>
      </c>
      <c r="H62" s="76">
        <f>H53-H57+H58-H59+H60</f>
        <v>139.19121254719667</v>
      </c>
      <c r="I62" s="76">
        <f t="shared" ref="I62:J62" si="79">I53-I57+I58-I59+I60</f>
        <v>133.91121254719667</v>
      </c>
      <c r="J62" s="76">
        <f t="shared" si="79"/>
        <v>131.30121254719668</v>
      </c>
      <c r="K62" s="22">
        <f>K53-K57+K58-K59+K60</f>
        <v>136.84121254719665</v>
      </c>
      <c r="L62" s="22">
        <f t="shared" ref="L62:M62" si="80">L53-L57+L58-L59+L60</f>
        <v>130.92121254719666</v>
      </c>
      <c r="M62" s="22">
        <f t="shared" si="80"/>
        <v>127.07121254719667</v>
      </c>
      <c r="N62" s="22">
        <f>N53-N57+N58-N59+N60</f>
        <v>131.22190068970608</v>
      </c>
      <c r="O62" s="22">
        <f t="shared" ref="O62:P62" si="81">O53-O57+O58-O59+O60</f>
        <v>124.20190068970609</v>
      </c>
      <c r="P62" s="22">
        <f t="shared" si="81"/>
        <v>119.89190068970609</v>
      </c>
      <c r="Q62" s="22">
        <f>Q53-Q57+Q58-Q59+Q60</f>
        <v>137.64121254719666</v>
      </c>
      <c r="R62" s="22">
        <f t="shared" ref="R62:S62" si="82">R53-R57+R58-R59+R60</f>
        <v>130.14121254719666</v>
      </c>
      <c r="S62" s="22">
        <f t="shared" si="82"/>
        <v>126.54121254719666</v>
      </c>
      <c r="T62" s="22">
        <f>T53-T57+T58-T59+T60</f>
        <v>133.54121254719669</v>
      </c>
      <c r="U62" s="22">
        <f t="shared" ref="U62:V62" si="83">U53-U57+U58-U59+U60</f>
        <v>128.54121254719666</v>
      </c>
      <c r="V62" s="22">
        <f t="shared" si="83"/>
        <v>126.54121254719666</v>
      </c>
      <c r="W62" s="22">
        <f>W53-W57+W58-W59+W60</f>
        <v>136.08040090650704</v>
      </c>
      <c r="X62" s="22">
        <f t="shared" ref="X62:Y62" si="84">X53-X57+X58-X59+X60</f>
        <v>129.58040090650704</v>
      </c>
      <c r="Y62" s="22">
        <f t="shared" si="84"/>
        <v>126.08040090650704</v>
      </c>
      <c r="Z62" s="22">
        <f>Z53-Z57+Z58-Z59+Z60</f>
        <v>135.44121254719667</v>
      </c>
      <c r="AA62" s="22">
        <f t="shared" ref="AA62:AB62" si="85">AA53-AA57+AA58-AA59+AA60</f>
        <v>129.12121254719668</v>
      </c>
      <c r="AB62" s="22">
        <f t="shared" si="85"/>
        <v>124.96121254719665</v>
      </c>
      <c r="AC62" s="22">
        <f>AC53-AC57+AC58-AC59+AC60</f>
        <v>135.93040090650703</v>
      </c>
      <c r="AD62" s="22">
        <f t="shared" ref="AD62" si="86">AD53-AD57+AD58-AD59+AD60</f>
        <v>130.33040090650704</v>
      </c>
      <c r="AE62" s="22"/>
      <c r="AF62" s="108">
        <f>AF53-AF57+AF58-AF59+AF60</f>
        <v>130.23040090650704</v>
      </c>
      <c r="AG62" s="108">
        <f t="shared" ref="AG62:AH62" si="87">AG53-AG57+AG58-AG59+AG60</f>
        <v>123.93040090650706</v>
      </c>
      <c r="AH62" s="108">
        <f t="shared" si="87"/>
        <v>120.13040090650705</v>
      </c>
      <c r="AI62" s="22">
        <f>AI53-AI57+AI58-AI59+AI60</f>
        <v>136.51040090650704</v>
      </c>
      <c r="AJ62" s="22">
        <f t="shared" ref="AJ62:AK62" si="88">AJ53-AJ57+AJ58-AJ59+AJ60</f>
        <v>129.17040090650704</v>
      </c>
      <c r="AK62" s="22">
        <f t="shared" si="88"/>
        <v>125.33040090650704</v>
      </c>
      <c r="AL62" s="22">
        <f>AL53-AL57+AL58-AL59+AL60</f>
        <v>136.14121254719666</v>
      </c>
      <c r="AM62" s="22">
        <f t="shared" ref="AM62:AN62" si="89">AM53-AM57+AM58-AM59+AM60</f>
        <v>130.14121254719666</v>
      </c>
      <c r="AN62" s="22">
        <f t="shared" si="89"/>
        <v>127.14121254719666</v>
      </c>
      <c r="AO62" s="22">
        <f>AO53-AO57+AO58-AO59+AO60</f>
        <v>133.13040090650702</v>
      </c>
      <c r="AP62" s="22">
        <f t="shared" ref="AP62:AQ62" si="90">AP53-AP57+AP58-AP59+AP60</f>
        <v>126.63040090650702</v>
      </c>
      <c r="AQ62" s="22">
        <f t="shared" si="90"/>
        <v>122.03040090650703</v>
      </c>
      <c r="AR62" s="22">
        <f>AR53-AR57+AR58-AR59+AR60</f>
        <v>131.74121254719668</v>
      </c>
      <c r="AS62" s="22">
        <f t="shared" ref="AS62:AT62" si="91">AS53-AS57+AS58-AS59+AS60</f>
        <v>125.74121254719668</v>
      </c>
      <c r="AT62" s="22">
        <f t="shared" si="91"/>
        <v>122.54121254719666</v>
      </c>
      <c r="AU62" s="22">
        <f>AU53-AU57+AU58-AU59+AU60</f>
        <v>135.91121254719667</v>
      </c>
      <c r="AV62" s="22">
        <f t="shared" ref="AV62:AW62" si="92">AV53-AV57+AV58-AV59+AV60</f>
        <v>130.24121254719668</v>
      </c>
      <c r="AW62" s="22">
        <f t="shared" si="92"/>
        <v>127.31121254719667</v>
      </c>
      <c r="AX62" s="22">
        <f>AX53-AX57+AX58-AX59+AX60</f>
        <v>132.63040090650702</v>
      </c>
      <c r="AY62" s="22">
        <f t="shared" ref="AY62:AZ62" si="93">AY53-AY57+AY58-AY59+AY60</f>
        <v>127.03040090650703</v>
      </c>
      <c r="AZ62" s="22">
        <f t="shared" si="93"/>
        <v>123.93040090650703</v>
      </c>
      <c r="BA62" s="58">
        <f>BA53-BA57+BA58-BA59+BA60</f>
        <v>132.81121254719667</v>
      </c>
      <c r="BB62" s="58">
        <f t="shared" ref="BB62" si="94">BB53-BB57+BB58-BB59+BB60</f>
        <v>126.91121254719667</v>
      </c>
      <c r="BC62" s="22"/>
    </row>
    <row r="63" spans="1:55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100"/>
      <c r="AG63" s="100"/>
      <c r="AH63" s="100"/>
      <c r="AJ63" s="2"/>
      <c r="AK63" s="2"/>
      <c r="AM63" s="2"/>
      <c r="AN63" s="2"/>
      <c r="AP63" s="2"/>
      <c r="AQ63" s="2"/>
      <c r="AS63" s="2"/>
      <c r="AT63" s="2"/>
      <c r="AU63" s="2"/>
      <c r="AV63" s="2"/>
      <c r="AW63" s="2"/>
      <c r="AY63" s="2"/>
      <c r="AZ63" s="2"/>
      <c r="BA63" s="90"/>
      <c r="BB63" s="90"/>
      <c r="BC63" s="2"/>
    </row>
    <row r="64" spans="1:5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 t="s">
        <v>16</v>
      </c>
      <c r="AE64" s="24"/>
      <c r="AF64" s="110" t="s">
        <v>16</v>
      </c>
      <c r="AG64" s="110" t="s">
        <v>16</v>
      </c>
      <c r="AH64" s="110" t="s">
        <v>16</v>
      </c>
      <c r="AI64" s="24" t="s">
        <v>16</v>
      </c>
      <c r="AJ64" s="24" t="s">
        <v>16</v>
      </c>
      <c r="AK64" s="24" t="s">
        <v>16</v>
      </c>
      <c r="AL64" s="24" t="s">
        <v>16</v>
      </c>
      <c r="AM64" s="24" t="s">
        <v>16</v>
      </c>
      <c r="AN64" s="24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  <c r="AT64" s="85" t="s">
        <v>16</v>
      </c>
      <c r="AU64" s="85" t="s">
        <v>16</v>
      </c>
      <c r="AV64" s="85" t="s">
        <v>16</v>
      </c>
      <c r="AW64" s="85" t="s">
        <v>16</v>
      </c>
      <c r="AX64" s="85" t="s">
        <v>16</v>
      </c>
      <c r="AY64" s="85" t="s">
        <v>16</v>
      </c>
      <c r="AZ64" s="85" t="s">
        <v>16</v>
      </c>
      <c r="BA64" s="89" t="s">
        <v>16</v>
      </c>
      <c r="BB64" s="89" t="s">
        <v>16</v>
      </c>
      <c r="BC64" s="85"/>
    </row>
    <row r="65" spans="1:55">
      <c r="A65" s="29" t="s">
        <v>98</v>
      </c>
      <c r="B65" s="22">
        <f t="shared" ref="B65:G65" si="95">B17-B23-B51+B21+B33</f>
        <v>154.80000000000004</v>
      </c>
      <c r="C65" s="22">
        <f t="shared" si="95"/>
        <v>150.90000000000003</v>
      </c>
      <c r="D65" s="22">
        <f t="shared" si="95"/>
        <v>146.10000000000002</v>
      </c>
      <c r="E65" s="22">
        <f t="shared" si="95"/>
        <v>161.82000000000002</v>
      </c>
      <c r="F65" s="22"/>
      <c r="G65" s="22">
        <f t="shared" si="95"/>
        <v>157.94000000000003</v>
      </c>
      <c r="H65" s="76">
        <f t="shared" ref="H65:M65" si="96">H17-H23-H51+H21+H33</f>
        <v>161.15000000000003</v>
      </c>
      <c r="I65" s="76">
        <f t="shared" si="96"/>
        <v>158.87000000000003</v>
      </c>
      <c r="J65" s="76">
        <f t="shared" si="96"/>
        <v>156.26000000000005</v>
      </c>
      <c r="K65" s="22">
        <f t="shared" si="96"/>
        <v>158.80000000000001</v>
      </c>
      <c r="L65" s="22">
        <f t="shared" si="96"/>
        <v>155.88000000000002</v>
      </c>
      <c r="M65" s="22">
        <f t="shared" si="96"/>
        <v>152.03000000000003</v>
      </c>
      <c r="N65" s="22">
        <f t="shared" ref="N65:S65" si="97">N17-N23-N51+N21+N33</f>
        <v>155.83068814250947</v>
      </c>
      <c r="O65" s="22">
        <f t="shared" si="97"/>
        <v>151.81068814250946</v>
      </c>
      <c r="P65" s="22">
        <f t="shared" si="97"/>
        <v>147.50068814250946</v>
      </c>
      <c r="Q65" s="22">
        <f t="shared" si="97"/>
        <v>159.60000000000002</v>
      </c>
      <c r="R65" s="22">
        <f t="shared" si="97"/>
        <v>155.10000000000002</v>
      </c>
      <c r="S65" s="22">
        <f t="shared" si="97"/>
        <v>151.50000000000003</v>
      </c>
      <c r="T65" s="22">
        <f t="shared" ref="T65:Y65" si="98">T17-T23-T51+T21+T33</f>
        <v>155.50000000000006</v>
      </c>
      <c r="U65" s="22">
        <f t="shared" si="98"/>
        <v>153.50000000000003</v>
      </c>
      <c r="V65" s="22">
        <f t="shared" si="98"/>
        <v>151.50000000000003</v>
      </c>
      <c r="W65" s="22">
        <f t="shared" si="98"/>
        <v>158.0391883593104</v>
      </c>
      <c r="X65" s="22">
        <f t="shared" si="98"/>
        <v>154.5391883593104</v>
      </c>
      <c r="Y65" s="22">
        <f t="shared" si="98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  <c r="AC65" s="22">
        <f>AC17-AC23-AC51+AC21+AC33</f>
        <v>157.8891883593104</v>
      </c>
      <c r="AD65" s="22">
        <f>AD17-AD23-AD51+AD21+AD33</f>
        <v>155.2891883593104</v>
      </c>
      <c r="AE65" s="22"/>
      <c r="AF65" s="108">
        <f>AF17-AF23-AF51+AF21+AF33</f>
        <v>152.18918835931041</v>
      </c>
      <c r="AG65" s="108">
        <f>AG17-AG23-AG51+AG21+AG33</f>
        <v>148.88918835931042</v>
      </c>
      <c r="AH65" s="108">
        <f>AH17-AH23-AH51+AH21+AH33</f>
        <v>145.08918835931041</v>
      </c>
      <c r="AI65" s="22">
        <f t="shared" ref="AF65:AK65" si="99">AI17-AI23-AI51+AI21+AI33</f>
        <v>155.46918835931041</v>
      </c>
      <c r="AJ65" s="22">
        <f t="shared" si="99"/>
        <v>151.1291883593104</v>
      </c>
      <c r="AK65" s="22">
        <f t="shared" si="99"/>
        <v>147.2891883593104</v>
      </c>
      <c r="AL65" s="22">
        <f>AL17-AL23-AL51+AL21+AL33</f>
        <v>158.10000000000002</v>
      </c>
      <c r="AM65" s="22">
        <f>AM17-AM23-AM51+AM21+AM33</f>
        <v>155.10000000000002</v>
      </c>
      <c r="AN65" s="22">
        <f>AN17-AN23-AN51+AN21+AN33</f>
        <v>152.10000000000002</v>
      </c>
      <c r="AO65" s="22">
        <f t="shared" ref="AO65:AQ65" si="100">AO17-AO23-AO51+AO21+AO33</f>
        <v>155.08918835931038</v>
      </c>
      <c r="AP65" s="22">
        <f t="shared" si="100"/>
        <v>151.58918835931038</v>
      </c>
      <c r="AQ65" s="22">
        <f t="shared" si="100"/>
        <v>146.98918835931039</v>
      </c>
      <c r="AR65" s="22">
        <f>AR17-AR23-AR51+AR21+AR33</f>
        <v>153.70000000000005</v>
      </c>
      <c r="AS65" s="22">
        <f>AS17-AS23-AS51+AS21+AS33</f>
        <v>150.70000000000005</v>
      </c>
      <c r="AT65" s="22">
        <f>AT17-AT23-AT51+AT21+AT33</f>
        <v>147.50000000000003</v>
      </c>
      <c r="AU65" s="22">
        <f t="shared" ref="AU65:BB65" si="101">AU17-AU23-AU51+AU21+AU33</f>
        <v>157.87000000000003</v>
      </c>
      <c r="AV65" s="22">
        <f t="shared" si="101"/>
        <v>155.20000000000005</v>
      </c>
      <c r="AW65" s="22">
        <f t="shared" si="101"/>
        <v>152.27000000000004</v>
      </c>
      <c r="AX65" s="22">
        <f t="shared" si="101"/>
        <v>154.58918835931038</v>
      </c>
      <c r="AY65" s="22">
        <f t="shared" si="101"/>
        <v>151.98918835931039</v>
      </c>
      <c r="AZ65" s="22">
        <f t="shared" si="101"/>
        <v>148.8891883593104</v>
      </c>
      <c r="BA65" s="58">
        <f t="shared" si="101"/>
        <v>157.80000000000004</v>
      </c>
      <c r="BB65" s="58">
        <f t="shared" si="101"/>
        <v>154.90000000000003</v>
      </c>
      <c r="BC65" s="22"/>
    </row>
  </sheetData>
  <mergeCells count="18">
    <mergeCell ref="Z1:AB1"/>
    <mergeCell ref="W1:Y1"/>
    <mergeCell ref="AF1:AH1"/>
    <mergeCell ref="BA1:BC1"/>
    <mergeCell ref="Q1:S1"/>
    <mergeCell ref="B1:D1"/>
    <mergeCell ref="E1:G1"/>
    <mergeCell ref="H1:J1"/>
    <mergeCell ref="K1:M1"/>
    <mergeCell ref="N1:P1"/>
    <mergeCell ref="T1:V1"/>
    <mergeCell ref="AR1:AT1"/>
    <mergeCell ref="AO1:AQ1"/>
    <mergeCell ref="AL1:AN1"/>
    <mergeCell ref="AI1:AK1"/>
    <mergeCell ref="AX1:AZ1"/>
    <mergeCell ref="AU1:AW1"/>
    <mergeCell ref="AC1:AE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65"/>
  <sheetViews>
    <sheetView zoomScale="90" zoomScaleNormal="90" workbookViewId="0">
      <pane xSplit="1" ySplit="1" topLeftCell="AC2" activePane="bottomRight" state="frozen"/>
      <selection pane="topRight"/>
      <selection pane="bottomLeft"/>
      <selection pane="bottomRight" activeCell="AH61" sqref="AH61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79" customWidth="1"/>
    <col min="9" max="10" width="15.59765625" style="1" customWidth="1"/>
    <col min="11" max="11" width="15.59765625" style="79" customWidth="1"/>
    <col min="12" max="16" width="15.59765625" style="1" customWidth="1"/>
    <col min="17" max="17" width="12.09765625" style="1" bestFit="1" customWidth="1"/>
    <col min="18" max="19" width="15.59765625" style="1" bestFit="1" customWidth="1"/>
    <col min="20" max="20" width="16.09765625" style="1" customWidth="1"/>
    <col min="21" max="21" width="15" style="1" customWidth="1"/>
    <col min="22" max="22" width="15.5" style="1" customWidth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31" width="15.5" style="1" customWidth="1"/>
    <col min="32" max="32" width="12.59765625" style="1" bestFit="1" customWidth="1"/>
    <col min="33" max="34" width="15.59765625" style="1" bestFit="1" customWidth="1"/>
    <col min="35" max="35" width="15.59765625" style="2" customWidth="1"/>
    <col min="36" max="37" width="15.59765625" style="1" customWidth="1"/>
    <col min="38" max="38" width="15.59765625" style="2" customWidth="1"/>
    <col min="39" max="40" width="15.59765625" style="1" customWidth="1"/>
    <col min="41" max="41" width="15.59765625" style="2" customWidth="1"/>
    <col min="42" max="43" width="15.59765625" style="1" customWidth="1"/>
    <col min="44" max="44" width="15.59765625" style="2" customWidth="1"/>
    <col min="45" max="46" width="15.59765625" style="1" customWidth="1"/>
    <col min="47" max="47" width="16.8984375" style="1" customWidth="1"/>
    <col min="48" max="48" width="18.09765625" style="1" customWidth="1"/>
    <col min="49" max="49" width="16" style="1" customWidth="1"/>
    <col min="50" max="50" width="16.8984375" style="1" customWidth="1"/>
    <col min="51" max="51" width="18.09765625" style="1" customWidth="1"/>
    <col min="52" max="52" width="16" style="1" customWidth="1"/>
    <col min="53" max="16384" width="9" style="1"/>
  </cols>
  <sheetData>
    <row r="1" spans="1:52" ht="14.25" customHeight="1">
      <c r="A1" s="3"/>
      <c r="B1" s="96" t="s">
        <v>100</v>
      </c>
      <c r="C1" s="96"/>
      <c r="D1" s="96"/>
      <c r="E1" s="96" t="s">
        <v>101</v>
      </c>
      <c r="F1" s="96"/>
      <c r="G1" s="96"/>
      <c r="H1" s="97" t="s">
        <v>113</v>
      </c>
      <c r="I1" s="97"/>
      <c r="J1" s="97"/>
      <c r="K1" s="96" t="s">
        <v>114</v>
      </c>
      <c r="L1" s="96"/>
      <c r="M1" s="96"/>
      <c r="N1" s="96" t="s">
        <v>115</v>
      </c>
      <c r="O1" s="96"/>
      <c r="P1" s="96"/>
      <c r="Q1" s="96" t="s">
        <v>124</v>
      </c>
      <c r="R1" s="96"/>
      <c r="S1" s="96"/>
      <c r="T1" s="96" t="s">
        <v>127</v>
      </c>
      <c r="U1" s="96"/>
      <c r="V1" s="96"/>
      <c r="W1" s="96" t="s">
        <v>129</v>
      </c>
      <c r="X1" s="96"/>
      <c r="Y1" s="96"/>
      <c r="Z1" s="96" t="s">
        <v>130</v>
      </c>
      <c r="AA1" s="96"/>
      <c r="AB1" s="96"/>
      <c r="AC1" s="96" t="s">
        <v>131</v>
      </c>
      <c r="AD1" s="96"/>
      <c r="AE1" s="96"/>
      <c r="AF1" s="96" t="s">
        <v>148</v>
      </c>
      <c r="AG1" s="96"/>
      <c r="AH1" s="96"/>
      <c r="AI1" s="96" t="s">
        <v>137</v>
      </c>
      <c r="AJ1" s="96"/>
      <c r="AK1" s="96"/>
      <c r="AL1" s="96" t="s">
        <v>140</v>
      </c>
      <c r="AM1" s="96"/>
      <c r="AN1" s="96"/>
      <c r="AO1" s="96" t="s">
        <v>143</v>
      </c>
      <c r="AP1" s="96"/>
      <c r="AQ1" s="96"/>
      <c r="AR1" s="96" t="s">
        <v>144</v>
      </c>
      <c r="AS1" s="96"/>
      <c r="AT1" s="96"/>
      <c r="AU1" s="96" t="s">
        <v>145</v>
      </c>
      <c r="AV1" s="96"/>
      <c r="AW1" s="96"/>
      <c r="AX1" s="96" t="s">
        <v>147</v>
      </c>
      <c r="AY1" s="96"/>
      <c r="AZ1" s="96"/>
    </row>
    <row r="2" spans="1:52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101" t="s">
        <v>102</v>
      </c>
      <c r="AG2" s="102" t="s">
        <v>103</v>
      </c>
      <c r="AH2" s="102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  <c r="AR2" s="5" t="s">
        <v>102</v>
      </c>
      <c r="AS2" s="6" t="s">
        <v>103</v>
      </c>
      <c r="AT2" s="6" t="s">
        <v>104</v>
      </c>
      <c r="AU2" s="5" t="s">
        <v>102</v>
      </c>
      <c r="AV2" s="6" t="s">
        <v>103</v>
      </c>
      <c r="AW2" s="6" t="s">
        <v>104</v>
      </c>
      <c r="AX2" s="5" t="s">
        <v>102</v>
      </c>
      <c r="AY2" s="6" t="s">
        <v>103</v>
      </c>
      <c r="AZ2" s="6" t="s">
        <v>104</v>
      </c>
    </row>
    <row r="3" spans="1:52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103">
        <v>2.6</v>
      </c>
      <c r="AG3" s="103">
        <v>2.6</v>
      </c>
      <c r="AH3" s="103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  <c r="AU3" s="8">
        <v>2.6</v>
      </c>
      <c r="AV3" s="8">
        <v>2.6</v>
      </c>
      <c r="AW3" s="8">
        <v>2.6</v>
      </c>
      <c r="AX3" s="45">
        <v>2.6</v>
      </c>
      <c r="AY3" s="45">
        <v>2.6</v>
      </c>
      <c r="AZ3" s="8"/>
    </row>
    <row r="4" spans="1:52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103">
        <v>100</v>
      </c>
      <c r="AG4" s="103">
        <v>100</v>
      </c>
      <c r="AH4" s="103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  <c r="AU4" s="8">
        <v>100</v>
      </c>
      <c r="AV4" s="8">
        <v>100</v>
      </c>
      <c r="AW4" s="8">
        <v>100</v>
      </c>
      <c r="AX4" s="45">
        <v>100</v>
      </c>
      <c r="AY4" s="45">
        <v>100</v>
      </c>
      <c r="AZ4" s="8"/>
    </row>
    <row r="5" spans="1:5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104" t="s">
        <v>16</v>
      </c>
      <c r="AG5" s="104" t="s">
        <v>16</v>
      </c>
      <c r="AH5" s="104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9" t="s">
        <v>16</v>
      </c>
      <c r="AX5" s="88" t="s">
        <v>16</v>
      </c>
      <c r="AY5" s="88" t="s">
        <v>16</v>
      </c>
      <c r="AZ5" s="9"/>
    </row>
    <row r="6" spans="1:52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/>
      <c r="AF6" s="104" t="s">
        <v>16</v>
      </c>
      <c r="AG6" s="104" t="s">
        <v>16</v>
      </c>
      <c r="AH6" s="104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  <c r="AU6" s="9" t="s">
        <v>16</v>
      </c>
      <c r="AV6" s="9" t="s">
        <v>16</v>
      </c>
      <c r="AW6" s="9" t="s">
        <v>16</v>
      </c>
      <c r="AX6" s="88" t="s">
        <v>16</v>
      </c>
      <c r="AY6" s="88" t="s">
        <v>16</v>
      </c>
      <c r="AZ6" s="9"/>
    </row>
    <row r="7" spans="1:52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>
        <v>0.01</v>
      </c>
      <c r="AE7" s="26"/>
      <c r="AF7" s="105">
        <v>0.01</v>
      </c>
      <c r="AG7" s="105">
        <v>0.01</v>
      </c>
      <c r="AH7" s="105">
        <v>0.01</v>
      </c>
      <c r="AI7" s="26">
        <v>0.01</v>
      </c>
      <c r="AJ7" s="26">
        <v>0.01</v>
      </c>
      <c r="AK7" s="26">
        <v>0.01</v>
      </c>
      <c r="AL7" s="26">
        <v>0.01</v>
      </c>
      <c r="AM7" s="26">
        <v>0.01</v>
      </c>
      <c r="AN7" s="26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  <c r="AU7" s="11">
        <v>0.01</v>
      </c>
      <c r="AV7" s="11">
        <v>0.01</v>
      </c>
      <c r="AW7" s="11">
        <v>0.01</v>
      </c>
      <c r="AX7" s="50">
        <v>0.01</v>
      </c>
      <c r="AY7" s="50">
        <v>0.01</v>
      </c>
      <c r="AZ7" s="11"/>
    </row>
    <row r="8" spans="1:52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/>
      <c r="AF8" s="104" t="s">
        <v>16</v>
      </c>
      <c r="AG8" s="104" t="s">
        <v>16</v>
      </c>
      <c r="AH8" s="104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  <c r="AU8" s="9" t="s">
        <v>16</v>
      </c>
      <c r="AV8" s="9" t="s">
        <v>16</v>
      </c>
      <c r="AW8" s="9" t="s">
        <v>16</v>
      </c>
      <c r="AX8" s="88" t="s">
        <v>16</v>
      </c>
      <c r="AY8" s="88" t="s">
        <v>16</v>
      </c>
      <c r="AZ8" s="9"/>
    </row>
    <row r="9" spans="1:5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03" t="s">
        <v>22</v>
      </c>
      <c r="AG9" s="103" t="s">
        <v>22</v>
      </c>
      <c r="AH9" s="103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8" t="s">
        <v>22</v>
      </c>
      <c r="AX9" s="45" t="s">
        <v>22</v>
      </c>
      <c r="AY9" s="45" t="s">
        <v>22</v>
      </c>
      <c r="AZ9" s="8"/>
    </row>
    <row r="10" spans="1:5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03">
        <v>3</v>
      </c>
      <c r="AG10" s="103">
        <v>3</v>
      </c>
      <c r="AH10" s="103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8">
        <v>3</v>
      </c>
      <c r="AX10" s="45">
        <v>3</v>
      </c>
      <c r="AY10" s="45">
        <v>3</v>
      </c>
      <c r="AZ10" s="8"/>
    </row>
    <row r="11" spans="1:52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06"/>
      <c r="AG11" s="106"/>
      <c r="AH11" s="106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51"/>
      <c r="AY11" s="51"/>
      <c r="AZ11" s="13"/>
    </row>
    <row r="12" spans="1:52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03">
        <v>192</v>
      </c>
      <c r="AG12" s="103">
        <v>192</v>
      </c>
      <c r="AH12" s="103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  <c r="AU12" s="8">
        <v>192</v>
      </c>
      <c r="AV12" s="8">
        <v>192</v>
      </c>
      <c r="AW12" s="8">
        <v>192</v>
      </c>
      <c r="AX12" s="45">
        <v>192</v>
      </c>
      <c r="AY12" s="45">
        <v>192</v>
      </c>
      <c r="AZ12" s="8"/>
    </row>
    <row r="13" spans="1:52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03">
        <v>64</v>
      </c>
      <c r="AG13" s="103">
        <v>64</v>
      </c>
      <c r="AH13" s="103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  <c r="AU13" s="8">
        <v>64</v>
      </c>
      <c r="AV13" s="8">
        <v>64</v>
      </c>
      <c r="AW13" s="8">
        <v>64</v>
      </c>
      <c r="AX13" s="45">
        <v>64</v>
      </c>
      <c r="AY13" s="45">
        <v>64</v>
      </c>
      <c r="AZ13" s="8"/>
    </row>
    <row r="14" spans="1:52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3">
        <v>4</v>
      </c>
      <c r="AD14" s="83">
        <v>4</v>
      </c>
      <c r="AE14" s="82"/>
      <c r="AF14" s="109">
        <v>4</v>
      </c>
      <c r="AG14" s="109">
        <v>4</v>
      </c>
      <c r="AH14" s="109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  <c r="AU14" s="82">
        <v>4</v>
      </c>
      <c r="AV14" s="82">
        <v>4</v>
      </c>
      <c r="AW14" s="82">
        <v>4</v>
      </c>
      <c r="AX14" s="83">
        <v>4</v>
      </c>
      <c r="AY14" s="83">
        <v>4</v>
      </c>
      <c r="AZ14" s="82"/>
    </row>
    <row r="15" spans="1:52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03">
        <v>33</v>
      </c>
      <c r="AG15" s="103">
        <v>33</v>
      </c>
      <c r="AH15" s="103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  <c r="AU15" s="8">
        <v>33</v>
      </c>
      <c r="AV15" s="8">
        <v>33</v>
      </c>
      <c r="AW15" s="8">
        <v>33</v>
      </c>
      <c r="AX15" s="45">
        <v>33</v>
      </c>
      <c r="AY15" s="45">
        <v>33</v>
      </c>
      <c r="AZ15" s="8"/>
    </row>
    <row r="16" spans="1:52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/>
      <c r="G16" s="12">
        <f t="shared" ref="G16:AD16" si="0">G15+10*LOG10(G4)</f>
        <v>53</v>
      </c>
      <c r="H16" s="71">
        <f t="shared" si="0"/>
        <v>53</v>
      </c>
      <c r="I16" s="71">
        <f t="shared" si="0"/>
        <v>53</v>
      </c>
      <c r="J16" s="71">
        <f t="shared" si="0"/>
        <v>53</v>
      </c>
      <c r="K16" s="12">
        <f t="shared" si="0"/>
        <v>53</v>
      </c>
      <c r="L16" s="12">
        <f t="shared" si="0"/>
        <v>53</v>
      </c>
      <c r="M16" s="12">
        <f t="shared" si="0"/>
        <v>53</v>
      </c>
      <c r="N16" s="12">
        <f t="shared" si="0"/>
        <v>53</v>
      </c>
      <c r="O16" s="12">
        <f t="shared" si="0"/>
        <v>53</v>
      </c>
      <c r="P16" s="12">
        <f t="shared" si="0"/>
        <v>53</v>
      </c>
      <c r="Q16" s="12">
        <f t="shared" si="0"/>
        <v>53</v>
      </c>
      <c r="R16" s="12">
        <f t="shared" si="0"/>
        <v>53</v>
      </c>
      <c r="S16" s="12">
        <f t="shared" si="0"/>
        <v>53</v>
      </c>
      <c r="T16" s="8">
        <f t="shared" si="0"/>
        <v>53</v>
      </c>
      <c r="U16" s="8">
        <f t="shared" si="0"/>
        <v>53</v>
      </c>
      <c r="V16" s="8">
        <f t="shared" si="0"/>
        <v>53</v>
      </c>
      <c r="W16" s="8">
        <f t="shared" si="0"/>
        <v>53</v>
      </c>
      <c r="X16" s="8">
        <f t="shared" si="0"/>
        <v>53</v>
      </c>
      <c r="Y16" s="8">
        <f t="shared" si="0"/>
        <v>53</v>
      </c>
      <c r="Z16" s="12">
        <f t="shared" si="0"/>
        <v>53</v>
      </c>
      <c r="AA16" s="12">
        <f t="shared" si="0"/>
        <v>53</v>
      </c>
      <c r="AB16" s="12">
        <f t="shared" si="0"/>
        <v>53</v>
      </c>
      <c r="AC16" s="12">
        <f t="shared" si="0"/>
        <v>53</v>
      </c>
      <c r="AD16" s="12">
        <f t="shared" si="0"/>
        <v>53</v>
      </c>
      <c r="AE16" s="12"/>
      <c r="AF16" s="103">
        <f t="shared" ref="AF16:AH16" si="1">AF15+10*LOG10(AF4)</f>
        <v>53</v>
      </c>
      <c r="AG16" s="103">
        <f t="shared" si="1"/>
        <v>53</v>
      </c>
      <c r="AH16" s="103">
        <f t="shared" si="1"/>
        <v>53</v>
      </c>
      <c r="AI16" s="12">
        <f t="shared" ref="AI16:AY16" si="2">AI15+10*LOG10(AI4)</f>
        <v>53</v>
      </c>
      <c r="AJ16" s="12">
        <f t="shared" si="2"/>
        <v>53</v>
      </c>
      <c r="AK16" s="12">
        <f t="shared" si="2"/>
        <v>53</v>
      </c>
      <c r="AL16" s="12">
        <f t="shared" si="2"/>
        <v>53</v>
      </c>
      <c r="AM16" s="12">
        <f t="shared" si="2"/>
        <v>53</v>
      </c>
      <c r="AN16" s="12">
        <f t="shared" si="2"/>
        <v>53</v>
      </c>
      <c r="AO16" s="8">
        <f t="shared" si="2"/>
        <v>53</v>
      </c>
      <c r="AP16" s="8">
        <f t="shared" si="2"/>
        <v>53</v>
      </c>
      <c r="AQ16" s="8">
        <f t="shared" si="2"/>
        <v>53</v>
      </c>
      <c r="AR16" s="8">
        <f t="shared" si="2"/>
        <v>53</v>
      </c>
      <c r="AS16" s="8">
        <f t="shared" si="2"/>
        <v>53</v>
      </c>
      <c r="AT16" s="8">
        <f t="shared" si="2"/>
        <v>53</v>
      </c>
      <c r="AU16" s="8">
        <f t="shared" si="2"/>
        <v>53</v>
      </c>
      <c r="AV16" s="8">
        <f t="shared" si="2"/>
        <v>53</v>
      </c>
      <c r="AW16" s="8">
        <f t="shared" si="2"/>
        <v>53</v>
      </c>
      <c r="AX16" s="45">
        <f t="shared" si="2"/>
        <v>53</v>
      </c>
      <c r="AY16" s="45">
        <f t="shared" si="2"/>
        <v>53</v>
      </c>
      <c r="AZ16" s="8"/>
    </row>
    <row r="17" spans="1:52" ht="27.6">
      <c r="A17" s="7" t="s">
        <v>35</v>
      </c>
      <c r="B17" s="12">
        <f>B15+10*LOG10(B41/1000000)</f>
        <v>45.375437381428746</v>
      </c>
      <c r="C17" s="12">
        <f>C15+10*LOG10(C41/1000000)</f>
        <v>45.375437381428746</v>
      </c>
      <c r="D17" s="12">
        <f>D15+10*LOG10(D41/1000000)</f>
        <v>45.375437381428746</v>
      </c>
      <c r="E17" s="12">
        <f>E15+10*LOG10(E41/1000000)</f>
        <v>45.375437381428746</v>
      </c>
      <c r="F17" s="12"/>
      <c r="G17" s="12">
        <f t="shared" ref="G17:AD17" si="3">G15+10*LOG10(G41/1000000)</f>
        <v>45.375437381428746</v>
      </c>
      <c r="H17" s="71">
        <f t="shared" si="3"/>
        <v>45.375437381428746</v>
      </c>
      <c r="I17" s="71">
        <f t="shared" si="3"/>
        <v>45.375437381428746</v>
      </c>
      <c r="J17" s="71">
        <f t="shared" si="3"/>
        <v>45.375437381428746</v>
      </c>
      <c r="K17" s="12">
        <f t="shared" si="3"/>
        <v>45.375437381428746</v>
      </c>
      <c r="L17" s="12">
        <f t="shared" si="3"/>
        <v>45.375437381428746</v>
      </c>
      <c r="M17" s="12">
        <f t="shared" si="3"/>
        <v>45.375437381428746</v>
      </c>
      <c r="N17" s="12">
        <f t="shared" si="3"/>
        <v>45.375437381428746</v>
      </c>
      <c r="O17" s="12">
        <f t="shared" si="3"/>
        <v>45.375437381428746</v>
      </c>
      <c r="P17" s="12">
        <f t="shared" si="3"/>
        <v>45.375437381428746</v>
      </c>
      <c r="Q17" s="12">
        <f t="shared" si="3"/>
        <v>45.375437381428746</v>
      </c>
      <c r="R17" s="12">
        <f t="shared" si="3"/>
        <v>45.375437381428746</v>
      </c>
      <c r="S17" s="12">
        <f t="shared" si="3"/>
        <v>45.375437381428746</v>
      </c>
      <c r="T17" s="8">
        <f t="shared" si="3"/>
        <v>45.375437381428746</v>
      </c>
      <c r="U17" s="8">
        <f t="shared" si="3"/>
        <v>45.375437381428746</v>
      </c>
      <c r="V17" s="8">
        <f t="shared" si="3"/>
        <v>45.375437381428746</v>
      </c>
      <c r="W17" s="8">
        <f t="shared" si="3"/>
        <v>45.375437381428746</v>
      </c>
      <c r="X17" s="8">
        <f t="shared" si="3"/>
        <v>45.375437381428746</v>
      </c>
      <c r="Y17" s="8">
        <f t="shared" si="3"/>
        <v>45.375437381428746</v>
      </c>
      <c r="Z17" s="12">
        <f t="shared" si="3"/>
        <v>45.375437381428746</v>
      </c>
      <c r="AA17" s="12">
        <f t="shared" si="3"/>
        <v>45.375437381428746</v>
      </c>
      <c r="AB17" s="12">
        <f t="shared" si="3"/>
        <v>45.375437381428746</v>
      </c>
      <c r="AC17" s="12">
        <f t="shared" si="3"/>
        <v>45.375437381428746</v>
      </c>
      <c r="AD17" s="12">
        <f t="shared" si="3"/>
        <v>45.375437381428746</v>
      </c>
      <c r="AE17" s="12"/>
      <c r="AF17" s="103">
        <f>AF15+10*LOG10(AF41/1000000)</f>
        <v>45.375437381428746</v>
      </c>
      <c r="AG17" s="103">
        <f>AG15+10*LOG10(AG41/1000000)</f>
        <v>45.375437381428746</v>
      </c>
      <c r="AH17" s="103">
        <f>AH15+10*LOG10(AH41/1000000)</f>
        <v>45.375437381428746</v>
      </c>
      <c r="AI17" s="12">
        <f t="shared" ref="AI17:AY17" si="4">AI15+10*LOG10(AI41/1000000)</f>
        <v>45.375437381428746</v>
      </c>
      <c r="AJ17" s="12">
        <f t="shared" si="4"/>
        <v>45.375437381428746</v>
      </c>
      <c r="AK17" s="12">
        <f t="shared" si="4"/>
        <v>45.375437381428746</v>
      </c>
      <c r="AL17" s="12">
        <f t="shared" si="4"/>
        <v>45.375437381428746</v>
      </c>
      <c r="AM17" s="12">
        <f t="shared" si="4"/>
        <v>45.375437381428746</v>
      </c>
      <c r="AN17" s="12">
        <f t="shared" si="4"/>
        <v>45.375437381428746</v>
      </c>
      <c r="AO17" s="8">
        <f t="shared" si="4"/>
        <v>45.375437381428746</v>
      </c>
      <c r="AP17" s="8">
        <f t="shared" si="4"/>
        <v>45.375437381428746</v>
      </c>
      <c r="AQ17" s="8">
        <f t="shared" si="4"/>
        <v>45.375437381428746</v>
      </c>
      <c r="AR17" s="8">
        <f t="shared" si="4"/>
        <v>45.375437381428746</v>
      </c>
      <c r="AS17" s="8">
        <f t="shared" si="4"/>
        <v>45.375437381428746</v>
      </c>
      <c r="AT17" s="8">
        <f t="shared" si="4"/>
        <v>45.375437381428746</v>
      </c>
      <c r="AU17" s="8">
        <f t="shared" si="4"/>
        <v>45.375437381428746</v>
      </c>
      <c r="AV17" s="8">
        <f t="shared" si="4"/>
        <v>45.375437381428746</v>
      </c>
      <c r="AW17" s="8">
        <f t="shared" si="4"/>
        <v>45.375437381428746</v>
      </c>
      <c r="AX17" s="45">
        <f t="shared" si="4"/>
        <v>45.375437381428746</v>
      </c>
      <c r="AY17" s="45">
        <f t="shared" si="4"/>
        <v>45.375437381428746</v>
      </c>
      <c r="AZ17" s="8"/>
    </row>
    <row r="18" spans="1:52" ht="41.4">
      <c r="A18" s="14" t="s">
        <v>37</v>
      </c>
      <c r="B18" s="12">
        <f>B19+10*LOG10(B12/B13)-B20</f>
        <v>12.771212547196624</v>
      </c>
      <c r="C18" s="12">
        <f>C19+10*LOG10(C12/C13)-C20</f>
        <v>12.771212547196624</v>
      </c>
      <c r="D18" s="12">
        <f>D19+10*LOG10(D12/D13)-D20</f>
        <v>12.771212547196624</v>
      </c>
      <c r="E18" s="12">
        <f>E19+10*LOG10(E12/E13)-E20</f>
        <v>9.8212125471966232</v>
      </c>
      <c r="F18" s="12"/>
      <c r="G18" s="12">
        <f t="shared" ref="G18:AD18" si="5">G19+10*LOG10(G12/G13)-G20</f>
        <v>9.8212125471966232</v>
      </c>
      <c r="H18" s="71">
        <f t="shared" si="5"/>
        <v>12.771212547196624</v>
      </c>
      <c r="I18" s="71">
        <f t="shared" si="5"/>
        <v>12.771212547196624</v>
      </c>
      <c r="J18" s="71">
        <f t="shared" si="5"/>
        <v>12.771212547196624</v>
      </c>
      <c r="K18" s="12">
        <f t="shared" si="5"/>
        <v>12.771212547196624</v>
      </c>
      <c r="L18" s="12">
        <f t="shared" si="5"/>
        <v>12.771212547196624</v>
      </c>
      <c r="M18" s="12">
        <f t="shared" si="5"/>
        <v>12.771212547196624</v>
      </c>
      <c r="N18" s="12">
        <f t="shared" si="5"/>
        <v>10.121212547196624</v>
      </c>
      <c r="O18" s="12">
        <f t="shared" si="5"/>
        <v>10.121212547196624</v>
      </c>
      <c r="P18" s="12">
        <f t="shared" si="5"/>
        <v>10.121212547196624</v>
      </c>
      <c r="Q18" s="12">
        <f t="shared" si="5"/>
        <v>12.771212547196624</v>
      </c>
      <c r="R18" s="12">
        <f t="shared" si="5"/>
        <v>12.771212547196624</v>
      </c>
      <c r="S18" s="12">
        <f t="shared" si="5"/>
        <v>12.771212547196624</v>
      </c>
      <c r="T18" s="8">
        <f t="shared" si="5"/>
        <v>12.771212547196624</v>
      </c>
      <c r="U18" s="8">
        <f t="shared" si="5"/>
        <v>12.771212547196624</v>
      </c>
      <c r="V18" s="8">
        <f t="shared" si="5"/>
        <v>12.771212547196624</v>
      </c>
      <c r="W18" s="8">
        <f t="shared" si="5"/>
        <v>12.771212547196624</v>
      </c>
      <c r="X18" s="8">
        <f t="shared" si="5"/>
        <v>12.771212547196624</v>
      </c>
      <c r="Y18" s="8">
        <f t="shared" si="5"/>
        <v>12.771212547196624</v>
      </c>
      <c r="Z18" s="12">
        <f t="shared" si="5"/>
        <v>12.771212547196624</v>
      </c>
      <c r="AA18" s="12">
        <f t="shared" si="5"/>
        <v>12.771212547196624</v>
      </c>
      <c r="AB18" s="12">
        <f t="shared" si="5"/>
        <v>12.771212547196624</v>
      </c>
      <c r="AC18" s="12">
        <f t="shared" si="5"/>
        <v>12.771212547196624</v>
      </c>
      <c r="AD18" s="12">
        <f t="shared" si="5"/>
        <v>12.771212547196624</v>
      </c>
      <c r="AE18" s="12"/>
      <c r="AF18" s="103">
        <f t="shared" ref="AF18:AH18" si="6">AF19+10*LOG10(AF12/AF13)-AF20</f>
        <v>12.771212547196624</v>
      </c>
      <c r="AG18" s="103">
        <f t="shared" si="6"/>
        <v>12.771212547196624</v>
      </c>
      <c r="AH18" s="103">
        <f t="shared" si="6"/>
        <v>12.771212547196624</v>
      </c>
      <c r="AI18" s="12">
        <f t="shared" ref="AI18:AY18" si="7">AI19+10*LOG10(AI12/AI13)-AI20</f>
        <v>12.771212547196624</v>
      </c>
      <c r="AJ18" s="12">
        <f t="shared" si="7"/>
        <v>12.771212547196624</v>
      </c>
      <c r="AK18" s="12">
        <f t="shared" si="7"/>
        <v>12.771212547196624</v>
      </c>
      <c r="AL18" s="12">
        <f t="shared" si="7"/>
        <v>12.771212547196624</v>
      </c>
      <c r="AM18" s="12">
        <f t="shared" si="7"/>
        <v>12.771212547196624</v>
      </c>
      <c r="AN18" s="12">
        <f t="shared" si="7"/>
        <v>12.771212547196624</v>
      </c>
      <c r="AO18" s="8">
        <f t="shared" si="7"/>
        <v>12.771212547196624</v>
      </c>
      <c r="AP18" s="8">
        <f t="shared" si="7"/>
        <v>12.771212547196624</v>
      </c>
      <c r="AQ18" s="8">
        <f t="shared" si="7"/>
        <v>12.771212547196624</v>
      </c>
      <c r="AR18" s="8">
        <f t="shared" si="7"/>
        <v>8.7712125471966242</v>
      </c>
      <c r="AS18" s="8">
        <f t="shared" si="7"/>
        <v>8.7712125471966242</v>
      </c>
      <c r="AT18" s="8">
        <f t="shared" si="7"/>
        <v>8.7712125471966242</v>
      </c>
      <c r="AU18" s="8">
        <f t="shared" si="7"/>
        <v>12.771212547196624</v>
      </c>
      <c r="AV18" s="8">
        <f t="shared" si="7"/>
        <v>12.771212547196624</v>
      </c>
      <c r="AW18" s="8">
        <f t="shared" si="7"/>
        <v>12.771212547196624</v>
      </c>
      <c r="AX18" s="45">
        <f t="shared" si="7"/>
        <v>9.7412125471966249</v>
      </c>
      <c r="AY18" s="45">
        <f t="shared" si="7"/>
        <v>9.7412125471966249</v>
      </c>
      <c r="AZ18" s="8"/>
    </row>
    <row r="19" spans="1:5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47">
        <v>8</v>
      </c>
      <c r="AD19" s="47">
        <v>8</v>
      </c>
      <c r="AE19" s="12"/>
      <c r="AF19" s="103">
        <v>8</v>
      </c>
      <c r="AG19" s="103">
        <v>8</v>
      </c>
      <c r="AH19" s="103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8">
        <v>8</v>
      </c>
      <c r="AX19" s="45">
        <v>8</v>
      </c>
      <c r="AY19" s="45">
        <v>8</v>
      </c>
      <c r="AZ19" s="8"/>
    </row>
    <row r="20" spans="1:52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109">
        <v>0</v>
      </c>
      <c r="AG20" s="109">
        <v>0</v>
      </c>
      <c r="AH20" s="109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4</v>
      </c>
      <c r="AS20" s="82">
        <v>4</v>
      </c>
      <c r="AT20" s="82">
        <v>4</v>
      </c>
      <c r="AU20" s="82">
        <v>0</v>
      </c>
      <c r="AV20" s="82">
        <v>0</v>
      </c>
      <c r="AW20" s="82">
        <v>0</v>
      </c>
      <c r="AX20" s="83">
        <v>3.03</v>
      </c>
      <c r="AY20" s="83">
        <v>3.03</v>
      </c>
      <c r="AZ20" s="82"/>
    </row>
    <row r="21" spans="1:52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>10*LOG10(O13/O14)</f>
        <v>15.051499783199061</v>
      </c>
      <c r="P21" s="16">
        <f>10*LOG10(P13/P14)</f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07">
        <v>12</v>
      </c>
      <c r="AG21" s="107">
        <v>12</v>
      </c>
      <c r="AH21" s="107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  <c r="AR21" s="16">
        <v>10</v>
      </c>
      <c r="AS21" s="16">
        <v>10</v>
      </c>
      <c r="AT21" s="16">
        <v>10</v>
      </c>
      <c r="AU21" s="16">
        <v>12</v>
      </c>
      <c r="AV21" s="16">
        <v>12</v>
      </c>
      <c r="AW21" s="16">
        <v>12</v>
      </c>
      <c r="AX21" s="52">
        <v>12</v>
      </c>
      <c r="AY21" s="52">
        <v>12</v>
      </c>
      <c r="AZ21" s="16"/>
    </row>
    <row r="22" spans="1:5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03">
        <v>0</v>
      </c>
      <c r="AG22" s="103">
        <v>0</v>
      </c>
      <c r="AH22" s="10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45">
        <v>0</v>
      </c>
      <c r="AY22" s="45">
        <v>0</v>
      </c>
      <c r="AZ22" s="8"/>
    </row>
    <row r="23" spans="1:5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03">
        <v>0</v>
      </c>
      <c r="AG23" s="103">
        <v>0</v>
      </c>
      <c r="AH23" s="103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45">
        <v>0</v>
      </c>
      <c r="AY23" s="45">
        <v>0</v>
      </c>
      <c r="AZ23" s="8"/>
    </row>
    <row r="24" spans="1:52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03">
        <v>3</v>
      </c>
      <c r="AG24" s="103">
        <v>3</v>
      </c>
      <c r="AH24" s="103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8">
        <v>3</v>
      </c>
      <c r="AX24" s="45">
        <v>3</v>
      </c>
      <c r="AY24" s="45">
        <v>3</v>
      </c>
      <c r="AZ24" s="8"/>
    </row>
    <row r="25" spans="1:52">
      <c r="A25" s="7" t="s">
        <v>49</v>
      </c>
      <c r="B25" s="12">
        <f>B17+B18+B21+B22-B24</f>
        <v>67.146649928625379</v>
      </c>
      <c r="C25" s="12">
        <f>C17+C18+C21+C22-C24</f>
        <v>67.146649928625379</v>
      </c>
      <c r="D25" s="12">
        <f>D17+D18+D21+D22-D24</f>
        <v>67.146649928625379</v>
      </c>
      <c r="E25" s="12">
        <f>E17+E18+E21+E22-E24</f>
        <v>64.236649928625368</v>
      </c>
      <c r="F25" s="12"/>
      <c r="G25" s="12">
        <f t="shared" ref="G25:AD25" si="8">G17+G18+G21+G22-G24</f>
        <v>64.236649928625368</v>
      </c>
      <c r="H25" s="71">
        <f t="shared" si="8"/>
        <v>67.146649928625379</v>
      </c>
      <c r="I25" s="71">
        <f t="shared" si="8"/>
        <v>67.146649928625379</v>
      </c>
      <c r="J25" s="71">
        <f t="shared" si="8"/>
        <v>67.146649928625379</v>
      </c>
      <c r="K25" s="12">
        <f t="shared" si="8"/>
        <v>67.146649928625379</v>
      </c>
      <c r="L25" s="12">
        <f t="shared" si="8"/>
        <v>67.146649928625379</v>
      </c>
      <c r="M25" s="12">
        <f t="shared" si="8"/>
        <v>67.146649928625379</v>
      </c>
      <c r="N25" s="12">
        <f t="shared" si="8"/>
        <v>67.548149711824436</v>
      </c>
      <c r="O25" s="12">
        <f t="shared" si="8"/>
        <v>67.548149711824436</v>
      </c>
      <c r="P25" s="12">
        <f t="shared" si="8"/>
        <v>67.548149711824436</v>
      </c>
      <c r="Q25" s="12">
        <f t="shared" si="8"/>
        <v>63.146649928625379</v>
      </c>
      <c r="R25" s="12">
        <f t="shared" si="8"/>
        <v>63.146649928625379</v>
      </c>
      <c r="S25" s="12">
        <f t="shared" si="8"/>
        <v>63.146649928625379</v>
      </c>
      <c r="T25" s="8">
        <f t="shared" si="8"/>
        <v>67.146649928625379</v>
      </c>
      <c r="U25" s="8">
        <f t="shared" si="8"/>
        <v>67.146649928625379</v>
      </c>
      <c r="V25" s="8">
        <f t="shared" si="8"/>
        <v>67.146649928625379</v>
      </c>
      <c r="W25" s="8">
        <f t="shared" si="8"/>
        <v>70.196649928625376</v>
      </c>
      <c r="X25" s="8">
        <f t="shared" si="8"/>
        <v>70.196649928625376</v>
      </c>
      <c r="Y25" s="8">
        <f t="shared" si="8"/>
        <v>70.196649928625376</v>
      </c>
      <c r="Z25" s="12">
        <f t="shared" si="8"/>
        <v>67.146649928625379</v>
      </c>
      <c r="AA25" s="12">
        <f t="shared" si="8"/>
        <v>67.146649928625379</v>
      </c>
      <c r="AB25" s="12">
        <f t="shared" si="8"/>
        <v>67.146649928625379</v>
      </c>
      <c r="AC25" s="12">
        <f t="shared" si="8"/>
        <v>67.146649928625379</v>
      </c>
      <c r="AD25" s="12">
        <f t="shared" si="8"/>
        <v>67.146649928625379</v>
      </c>
      <c r="AE25" s="12"/>
      <c r="AF25" s="103">
        <f>AF17+AF18+AF21+AF22-AF24</f>
        <v>67.146649928625379</v>
      </c>
      <c r="AG25" s="103">
        <f>AG17+AG18+AG21+AG22-AG24</f>
        <v>67.146649928625379</v>
      </c>
      <c r="AH25" s="103">
        <f>AH17+AH18+AH21+AH22-AH24</f>
        <v>67.146649928625379</v>
      </c>
      <c r="AI25" s="12">
        <f t="shared" ref="AI25:AY25" si="9">AI17+AI18+AI21+AI22-AI24</f>
        <v>67.146649928625379</v>
      </c>
      <c r="AJ25" s="12">
        <f t="shared" si="9"/>
        <v>67.146649928625379</v>
      </c>
      <c r="AK25" s="12">
        <f t="shared" si="9"/>
        <v>67.146649928625379</v>
      </c>
      <c r="AL25" s="12">
        <f t="shared" si="9"/>
        <v>67.146649928625379</v>
      </c>
      <c r="AM25" s="12">
        <f t="shared" si="9"/>
        <v>67.146649928625379</v>
      </c>
      <c r="AN25" s="12">
        <f t="shared" si="9"/>
        <v>67.146649928625379</v>
      </c>
      <c r="AO25" s="8">
        <f t="shared" si="9"/>
        <v>67.146649928625379</v>
      </c>
      <c r="AP25" s="8">
        <f t="shared" si="9"/>
        <v>67.146649928625379</v>
      </c>
      <c r="AQ25" s="8">
        <f t="shared" si="9"/>
        <v>67.146649928625379</v>
      </c>
      <c r="AR25" s="8">
        <f t="shared" si="9"/>
        <v>61.146649928625379</v>
      </c>
      <c r="AS25" s="8">
        <f t="shared" si="9"/>
        <v>61.146649928625379</v>
      </c>
      <c r="AT25" s="8">
        <f t="shared" si="9"/>
        <v>61.146649928625379</v>
      </c>
      <c r="AU25" s="8">
        <f t="shared" si="9"/>
        <v>67.146649928625379</v>
      </c>
      <c r="AV25" s="8">
        <f t="shared" si="9"/>
        <v>67.146649928625379</v>
      </c>
      <c r="AW25" s="8">
        <f t="shared" si="9"/>
        <v>67.146649928625379</v>
      </c>
      <c r="AX25" s="45">
        <f t="shared" si="9"/>
        <v>64.116649928625378</v>
      </c>
      <c r="AY25" s="45">
        <f t="shared" si="9"/>
        <v>64.116649928625378</v>
      </c>
      <c r="AZ25" s="8"/>
    </row>
    <row r="26" spans="1:52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/>
      <c r="AF26" s="104" t="s">
        <v>16</v>
      </c>
      <c r="AG26" s="104" t="s">
        <v>16</v>
      </c>
      <c r="AH26" s="104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  <c r="AU26" s="9" t="s">
        <v>16</v>
      </c>
      <c r="AV26" s="9" t="s">
        <v>16</v>
      </c>
      <c r="AW26" s="9" t="s">
        <v>16</v>
      </c>
      <c r="AX26" s="88" t="s">
        <v>16</v>
      </c>
      <c r="AY26" s="88" t="s">
        <v>16</v>
      </c>
      <c r="AZ26" s="9"/>
    </row>
    <row r="27" spans="1:52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06"/>
      <c r="AG27" s="106"/>
      <c r="AH27" s="106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51"/>
      <c r="AY27" s="51"/>
      <c r="AZ27" s="13"/>
    </row>
    <row r="28" spans="1:52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03">
        <v>4</v>
      </c>
      <c r="AG28" s="103">
        <v>2</v>
      </c>
      <c r="AH28" s="103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  <c r="AR28" s="8">
        <v>4</v>
      </c>
      <c r="AS28" s="8">
        <v>2</v>
      </c>
      <c r="AT28" s="8">
        <v>1</v>
      </c>
      <c r="AU28" s="8">
        <v>4</v>
      </c>
      <c r="AV28" s="8">
        <v>2</v>
      </c>
      <c r="AW28" s="8">
        <v>1</v>
      </c>
      <c r="AX28" s="45">
        <v>4</v>
      </c>
      <c r="AY28" s="45">
        <v>2</v>
      </c>
      <c r="AZ28" s="8"/>
    </row>
    <row r="29" spans="1:52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03">
        <v>4</v>
      </c>
      <c r="AG29" s="103">
        <v>2</v>
      </c>
      <c r="AH29" s="103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  <c r="AR29" s="8">
        <v>4</v>
      </c>
      <c r="AS29" s="8">
        <v>2</v>
      </c>
      <c r="AT29" s="8">
        <v>1</v>
      </c>
      <c r="AU29" s="8">
        <v>4</v>
      </c>
      <c r="AV29" s="8">
        <v>2</v>
      </c>
      <c r="AW29" s="8">
        <v>1</v>
      </c>
      <c r="AX29" s="45">
        <v>4</v>
      </c>
      <c r="AY29" s="45">
        <v>2</v>
      </c>
      <c r="AZ29" s="8"/>
    </row>
    <row r="30" spans="1:52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/>
      <c r="G30" s="12">
        <f t="shared" ref="G30:AD30" si="10">G31+10*LOG10(G28/G29)-G32</f>
        <v>-3</v>
      </c>
      <c r="H30" s="71">
        <f t="shared" si="10"/>
        <v>0</v>
      </c>
      <c r="I30" s="71">
        <f t="shared" si="10"/>
        <v>-3</v>
      </c>
      <c r="J30" s="71">
        <f t="shared" si="10"/>
        <v>-3</v>
      </c>
      <c r="K30" s="12">
        <f t="shared" si="10"/>
        <v>0</v>
      </c>
      <c r="L30" s="12">
        <f t="shared" si="10"/>
        <v>-3</v>
      </c>
      <c r="M30" s="12">
        <f t="shared" si="10"/>
        <v>-3</v>
      </c>
      <c r="N30" s="12">
        <f t="shared" si="10"/>
        <v>0</v>
      </c>
      <c r="O30" s="12">
        <f t="shared" si="10"/>
        <v>-3</v>
      </c>
      <c r="P30" s="12">
        <f t="shared" si="10"/>
        <v>-3</v>
      </c>
      <c r="Q30" s="12">
        <f t="shared" si="10"/>
        <v>0</v>
      </c>
      <c r="R30" s="12">
        <f t="shared" si="10"/>
        <v>-3</v>
      </c>
      <c r="S30" s="12">
        <f t="shared" si="10"/>
        <v>-3</v>
      </c>
      <c r="T30" s="8">
        <f t="shared" si="10"/>
        <v>0</v>
      </c>
      <c r="U30" s="8">
        <f t="shared" si="10"/>
        <v>-3</v>
      </c>
      <c r="V30" s="8">
        <f t="shared" si="10"/>
        <v>-3</v>
      </c>
      <c r="W30" s="8">
        <f t="shared" si="10"/>
        <v>0</v>
      </c>
      <c r="X30" s="8">
        <f t="shared" si="10"/>
        <v>-3</v>
      </c>
      <c r="Y30" s="8">
        <f t="shared" si="10"/>
        <v>-3</v>
      </c>
      <c r="Z30" s="12">
        <f t="shared" si="10"/>
        <v>0</v>
      </c>
      <c r="AA30" s="12">
        <f t="shared" si="10"/>
        <v>-3</v>
      </c>
      <c r="AB30" s="12">
        <f t="shared" si="10"/>
        <v>-3</v>
      </c>
      <c r="AC30" s="12">
        <f t="shared" si="10"/>
        <v>0</v>
      </c>
      <c r="AD30" s="12">
        <f t="shared" si="10"/>
        <v>-3</v>
      </c>
      <c r="AE30" s="12"/>
      <c r="AF30" s="103">
        <f t="shared" ref="AF30:AH30" si="11">AF31+10*LOG10(AF28/AF29)-AF32</f>
        <v>0</v>
      </c>
      <c r="AG30" s="103">
        <f t="shared" si="11"/>
        <v>-3</v>
      </c>
      <c r="AH30" s="103">
        <f t="shared" si="11"/>
        <v>-3</v>
      </c>
      <c r="AI30" s="12">
        <f t="shared" ref="AI30:AY30" si="12">AI31+10*LOG10(AI28/AI29)-AI32</f>
        <v>0</v>
      </c>
      <c r="AJ30" s="12">
        <f t="shared" si="12"/>
        <v>-3</v>
      </c>
      <c r="AK30" s="12">
        <f t="shared" si="12"/>
        <v>-3</v>
      </c>
      <c r="AL30" s="12">
        <f t="shared" si="12"/>
        <v>0</v>
      </c>
      <c r="AM30" s="12">
        <f t="shared" si="12"/>
        <v>-3</v>
      </c>
      <c r="AN30" s="12">
        <f t="shared" si="12"/>
        <v>-3</v>
      </c>
      <c r="AO30" s="8">
        <f t="shared" si="12"/>
        <v>0</v>
      </c>
      <c r="AP30" s="8">
        <f t="shared" si="12"/>
        <v>-3</v>
      </c>
      <c r="AQ30" s="8">
        <f t="shared" si="12"/>
        <v>-3</v>
      </c>
      <c r="AR30" s="8">
        <f t="shared" si="12"/>
        <v>0</v>
      </c>
      <c r="AS30" s="8">
        <f t="shared" si="12"/>
        <v>-3</v>
      </c>
      <c r="AT30" s="8">
        <f t="shared" si="12"/>
        <v>-3</v>
      </c>
      <c r="AU30" s="8">
        <f t="shared" si="12"/>
        <v>0</v>
      </c>
      <c r="AV30" s="8">
        <f t="shared" si="12"/>
        <v>-3</v>
      </c>
      <c r="AW30" s="8">
        <f t="shared" si="12"/>
        <v>-3</v>
      </c>
      <c r="AX30" s="45">
        <f t="shared" si="12"/>
        <v>0</v>
      </c>
      <c r="AY30" s="45">
        <f t="shared" si="12"/>
        <v>-3</v>
      </c>
      <c r="AZ30" s="8"/>
    </row>
    <row r="31" spans="1:5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/>
      <c r="AF31" s="103">
        <v>0</v>
      </c>
      <c r="AG31" s="103">
        <v>-3</v>
      </c>
      <c r="AH31" s="103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8">
        <v>0</v>
      </c>
      <c r="AV31" s="8">
        <v>-3</v>
      </c>
      <c r="AW31" s="8">
        <v>-3</v>
      </c>
      <c r="AX31" s="45">
        <v>0</v>
      </c>
      <c r="AY31" s="45">
        <v>-3</v>
      </c>
      <c r="AZ31" s="8"/>
    </row>
    <row r="32" spans="1:52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03">
        <v>0</v>
      </c>
      <c r="AG32" s="103">
        <v>0</v>
      </c>
      <c r="AH32" s="10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45">
        <v>0</v>
      </c>
      <c r="AY32" s="45">
        <v>0</v>
      </c>
      <c r="AZ32" s="8"/>
    </row>
    <row r="33" spans="1:52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03">
        <v>0</v>
      </c>
      <c r="AG33" s="103">
        <v>0</v>
      </c>
      <c r="AH33" s="10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45">
        <v>0</v>
      </c>
      <c r="AY33" s="45">
        <v>0</v>
      </c>
      <c r="AZ33" s="8"/>
    </row>
    <row r="34" spans="1:52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03">
        <v>1</v>
      </c>
      <c r="AG34" s="103">
        <v>1</v>
      </c>
      <c r="AH34" s="103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  <c r="AX34" s="45">
        <v>1</v>
      </c>
      <c r="AY34" s="45">
        <v>1</v>
      </c>
      <c r="AZ34" s="8"/>
    </row>
    <row r="35" spans="1:5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103">
        <v>7</v>
      </c>
      <c r="AG35" s="103">
        <v>7</v>
      </c>
      <c r="AH35" s="103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8">
        <v>7</v>
      </c>
      <c r="AX35" s="45">
        <v>7</v>
      </c>
      <c r="AY35" s="45">
        <v>7</v>
      </c>
      <c r="AZ35" s="8"/>
    </row>
    <row r="36" spans="1:5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103">
        <v>-174</v>
      </c>
      <c r="AG36" s="103">
        <v>-174</v>
      </c>
      <c r="AH36" s="103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8">
        <v>-174</v>
      </c>
      <c r="AX36" s="45">
        <v>-174</v>
      </c>
      <c r="AY36" s="45">
        <v>-174</v>
      </c>
      <c r="AZ36" s="8"/>
    </row>
    <row r="37" spans="1:52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  <c r="AC37" s="82">
        <v>-169.3</v>
      </c>
      <c r="AD37" s="82">
        <v>-169.3</v>
      </c>
      <c r="AE37" s="82"/>
      <c r="AF37" s="109">
        <v>-169.3</v>
      </c>
      <c r="AG37" s="109">
        <v>-169.3</v>
      </c>
      <c r="AH37" s="109">
        <v>-169.3</v>
      </c>
      <c r="AI37" s="82">
        <v>-169.3</v>
      </c>
      <c r="AJ37" s="82">
        <v>-169.3</v>
      </c>
      <c r="AK37" s="82">
        <v>-169.3</v>
      </c>
      <c r="AL37" s="82">
        <v>-999</v>
      </c>
      <c r="AM37" s="82">
        <v>-999</v>
      </c>
      <c r="AN37" s="82">
        <v>-999</v>
      </c>
      <c r="AO37" s="82">
        <v>-169.3</v>
      </c>
      <c r="AP37" s="82">
        <v>-169.3</v>
      </c>
      <c r="AQ37" s="82">
        <v>-169.3</v>
      </c>
      <c r="AR37" s="82">
        <v>-999</v>
      </c>
      <c r="AS37" s="82">
        <v>-999</v>
      </c>
      <c r="AT37" s="82">
        <v>-999</v>
      </c>
      <c r="AU37" s="82">
        <v>-999</v>
      </c>
      <c r="AV37" s="82">
        <v>-999</v>
      </c>
      <c r="AW37" s="82">
        <v>-999</v>
      </c>
      <c r="AX37" s="83">
        <v>-999</v>
      </c>
      <c r="AY37" s="83">
        <v>-999</v>
      </c>
      <c r="AZ37" s="82"/>
    </row>
    <row r="38" spans="1:52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/>
      <c r="AF38" s="103" t="s">
        <v>16</v>
      </c>
      <c r="AG38" s="103" t="s">
        <v>16</v>
      </c>
      <c r="AH38" s="103" t="s">
        <v>16</v>
      </c>
      <c r="AI38" s="12" t="s">
        <v>16</v>
      </c>
      <c r="AJ38" s="12" t="s">
        <v>16</v>
      </c>
      <c r="AK38" s="12" t="s">
        <v>16</v>
      </c>
      <c r="AL38" s="12" t="s">
        <v>16</v>
      </c>
      <c r="AM38" s="12" t="s">
        <v>16</v>
      </c>
      <c r="AN38" s="12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8" t="s">
        <v>16</v>
      </c>
      <c r="AV38" s="8" t="s">
        <v>16</v>
      </c>
      <c r="AW38" s="8" t="s">
        <v>16</v>
      </c>
      <c r="AX38" s="45" t="s">
        <v>16</v>
      </c>
      <c r="AY38" s="45" t="s">
        <v>16</v>
      </c>
      <c r="AZ38" s="8"/>
    </row>
    <row r="39" spans="1:52" ht="27.6">
      <c r="A39" s="7" t="s">
        <v>106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/>
      <c r="G39" s="12">
        <f t="shared" ref="G39:AD39" si="13">10*LOG10(10^((G35+G36)/10)+10^(G37/10))</f>
        <v>-167.00000000000003</v>
      </c>
      <c r="H39" s="71">
        <f t="shared" si="13"/>
        <v>-167.00000000000003</v>
      </c>
      <c r="I39" s="71">
        <f t="shared" si="13"/>
        <v>-167.00000000000003</v>
      </c>
      <c r="J39" s="71">
        <f t="shared" si="13"/>
        <v>-167.00000000000003</v>
      </c>
      <c r="K39" s="12">
        <f t="shared" si="13"/>
        <v>-167.00000000000003</v>
      </c>
      <c r="L39" s="12">
        <f t="shared" si="13"/>
        <v>-167.00000000000003</v>
      </c>
      <c r="M39" s="12">
        <f t="shared" si="13"/>
        <v>-167.00000000000003</v>
      </c>
      <c r="N39" s="12">
        <f t="shared" si="13"/>
        <v>-164.98918835931039</v>
      </c>
      <c r="O39" s="12">
        <f t="shared" si="13"/>
        <v>-164.98918835931039</v>
      </c>
      <c r="P39" s="12">
        <f t="shared" si="13"/>
        <v>-164.98918835931039</v>
      </c>
      <c r="Q39" s="12">
        <f t="shared" si="13"/>
        <v>-167.00000000000003</v>
      </c>
      <c r="R39" s="12">
        <f t="shared" si="13"/>
        <v>-167.00000000000003</v>
      </c>
      <c r="S39" s="12">
        <f t="shared" si="13"/>
        <v>-167.00000000000003</v>
      </c>
      <c r="T39" s="8">
        <f t="shared" si="13"/>
        <v>-167.00000000000003</v>
      </c>
      <c r="U39" s="8">
        <f t="shared" si="13"/>
        <v>-167.00000000000003</v>
      </c>
      <c r="V39" s="8">
        <f t="shared" si="13"/>
        <v>-167.00000000000003</v>
      </c>
      <c r="W39" s="8">
        <f t="shared" si="13"/>
        <v>-164.98918835931039</v>
      </c>
      <c r="X39" s="8">
        <f t="shared" si="13"/>
        <v>-164.98918835931039</v>
      </c>
      <c r="Y39" s="8">
        <f t="shared" si="13"/>
        <v>-164.98918835931039</v>
      </c>
      <c r="Z39" s="12">
        <f t="shared" si="13"/>
        <v>-167.00000000000003</v>
      </c>
      <c r="AA39" s="12">
        <f t="shared" si="13"/>
        <v>-167.00000000000003</v>
      </c>
      <c r="AB39" s="12">
        <f t="shared" si="13"/>
        <v>-167.00000000000003</v>
      </c>
      <c r="AC39" s="12">
        <f t="shared" si="13"/>
        <v>-164.98918835931039</v>
      </c>
      <c r="AD39" s="12">
        <f t="shared" si="13"/>
        <v>-164.98918835931039</v>
      </c>
      <c r="AE39" s="12"/>
      <c r="AF39" s="103">
        <f>10*LOG10(10^((AF35+AF36)/10)+10^(AF37/10))</f>
        <v>-164.98918835931039</v>
      </c>
      <c r="AG39" s="103">
        <f>10*LOG10(10^((AG35+AG36)/10)+10^(AG37/10))</f>
        <v>-164.98918835931039</v>
      </c>
      <c r="AH39" s="103">
        <f>10*LOG10(10^((AH35+AH36)/10)+10^(AH37/10))</f>
        <v>-164.98918835931039</v>
      </c>
      <c r="AI39" s="12">
        <f t="shared" ref="AI39:AY39" si="14">10*LOG10(10^((AI35+AI36)/10)+10^(AI37/10))</f>
        <v>-164.98918835931039</v>
      </c>
      <c r="AJ39" s="12">
        <f t="shared" si="14"/>
        <v>-164.98918835931039</v>
      </c>
      <c r="AK39" s="12">
        <f t="shared" si="14"/>
        <v>-164.98918835931039</v>
      </c>
      <c r="AL39" s="12">
        <f t="shared" si="14"/>
        <v>-167.00000000000003</v>
      </c>
      <c r="AM39" s="12">
        <f t="shared" si="14"/>
        <v>-167.00000000000003</v>
      </c>
      <c r="AN39" s="12">
        <f t="shared" si="14"/>
        <v>-167.00000000000003</v>
      </c>
      <c r="AO39" s="8">
        <f t="shared" si="14"/>
        <v>-164.98918835931039</v>
      </c>
      <c r="AP39" s="8">
        <f t="shared" si="14"/>
        <v>-164.98918835931039</v>
      </c>
      <c r="AQ39" s="8">
        <f t="shared" si="14"/>
        <v>-164.98918835931039</v>
      </c>
      <c r="AR39" s="8">
        <f t="shared" si="14"/>
        <v>-167.00000000000003</v>
      </c>
      <c r="AS39" s="8">
        <f t="shared" si="14"/>
        <v>-167.00000000000003</v>
      </c>
      <c r="AT39" s="8">
        <f t="shared" si="14"/>
        <v>-167.00000000000003</v>
      </c>
      <c r="AU39" s="8">
        <f t="shared" si="14"/>
        <v>-167.00000000000003</v>
      </c>
      <c r="AV39" s="8">
        <f t="shared" si="14"/>
        <v>-167.00000000000003</v>
      </c>
      <c r="AW39" s="8">
        <f t="shared" si="14"/>
        <v>-167.00000000000003</v>
      </c>
      <c r="AX39" s="45">
        <f t="shared" si="14"/>
        <v>-167.00000000000003</v>
      </c>
      <c r="AY39" s="45">
        <f t="shared" si="14"/>
        <v>-167.00000000000003</v>
      </c>
      <c r="AZ39" s="8"/>
    </row>
    <row r="40" spans="1:52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/>
      <c r="AF40" s="104" t="s">
        <v>16</v>
      </c>
      <c r="AG40" s="104" t="s">
        <v>16</v>
      </c>
      <c r="AH40" s="104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  <c r="AU40" s="9" t="s">
        <v>16</v>
      </c>
      <c r="AV40" s="9" t="s">
        <v>16</v>
      </c>
      <c r="AW40" s="9" t="s">
        <v>16</v>
      </c>
      <c r="AX40" s="88" t="s">
        <v>16</v>
      </c>
      <c r="AY40" s="88" t="s">
        <v>16</v>
      </c>
      <c r="AZ40" s="9"/>
    </row>
    <row r="41" spans="1:52">
      <c r="A41" s="20" t="s">
        <v>68</v>
      </c>
      <c r="B41" s="12">
        <f t="shared" ref="B41:G41" si="15">48*360*1000</f>
        <v>17280000</v>
      </c>
      <c r="C41" s="12">
        <f t="shared" si="15"/>
        <v>17280000</v>
      </c>
      <c r="D41" s="12">
        <f t="shared" si="15"/>
        <v>17280000</v>
      </c>
      <c r="E41" s="12">
        <f t="shared" si="15"/>
        <v>17280000</v>
      </c>
      <c r="F41" s="12"/>
      <c r="G41" s="12">
        <f t="shared" si="15"/>
        <v>17280000</v>
      </c>
      <c r="H41" s="71">
        <f t="shared" ref="H41:M41" si="16">48*360*1000</f>
        <v>17280000</v>
      </c>
      <c r="I41" s="71">
        <f t="shared" si="16"/>
        <v>17280000</v>
      </c>
      <c r="J41" s="71">
        <f t="shared" si="16"/>
        <v>17280000</v>
      </c>
      <c r="K41" s="12">
        <f t="shared" si="16"/>
        <v>17280000</v>
      </c>
      <c r="L41" s="12">
        <f t="shared" si="16"/>
        <v>17280000</v>
      </c>
      <c r="M41" s="12">
        <f t="shared" si="16"/>
        <v>17280000</v>
      </c>
      <c r="N41" s="12">
        <f t="shared" ref="N41:S41" si="17">48*360*1000</f>
        <v>17280000</v>
      </c>
      <c r="O41" s="12">
        <f t="shared" si="17"/>
        <v>17280000</v>
      </c>
      <c r="P41" s="12">
        <f t="shared" si="17"/>
        <v>17280000</v>
      </c>
      <c r="Q41" s="12">
        <f t="shared" si="17"/>
        <v>17280000</v>
      </c>
      <c r="R41" s="12">
        <f t="shared" si="17"/>
        <v>17280000</v>
      </c>
      <c r="S41" s="12">
        <f t="shared" si="17"/>
        <v>17280000</v>
      </c>
      <c r="T41" s="8">
        <f t="shared" ref="T41:Y41" si="18">48*360*1000</f>
        <v>17280000</v>
      </c>
      <c r="U41" s="8">
        <f t="shared" si="18"/>
        <v>17280000</v>
      </c>
      <c r="V41" s="8">
        <f t="shared" si="18"/>
        <v>17280000</v>
      </c>
      <c r="W41" s="8">
        <f t="shared" si="18"/>
        <v>17280000</v>
      </c>
      <c r="X41" s="8">
        <f t="shared" si="18"/>
        <v>17280000</v>
      </c>
      <c r="Y41" s="8">
        <f t="shared" si="18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  <c r="AC41" s="12">
        <f>48*360*1000</f>
        <v>17280000</v>
      </c>
      <c r="AD41" s="12">
        <f>48*360*1000</f>
        <v>17280000</v>
      </c>
      <c r="AE41" s="12"/>
      <c r="AF41" s="103">
        <f>48*360*1000</f>
        <v>17280000</v>
      </c>
      <c r="AG41" s="103">
        <f>48*360*1000</f>
        <v>17280000</v>
      </c>
      <c r="AH41" s="103">
        <f>48*360*1000</f>
        <v>17280000</v>
      </c>
      <c r="AI41" s="12">
        <f t="shared" ref="AI41:AK41" si="19">48*360*1000</f>
        <v>17280000</v>
      </c>
      <c r="AJ41" s="12">
        <f t="shared" si="19"/>
        <v>17280000</v>
      </c>
      <c r="AK41" s="12">
        <f t="shared" si="19"/>
        <v>17280000</v>
      </c>
      <c r="AL41" s="12">
        <f>48*360*1000</f>
        <v>17280000</v>
      </c>
      <c r="AM41" s="12">
        <f>48*360*1000</f>
        <v>17280000</v>
      </c>
      <c r="AN41" s="12">
        <f>48*360*1000</f>
        <v>17280000</v>
      </c>
      <c r="AO41" s="8">
        <f t="shared" ref="AO41:AQ41" si="20">48*360*1000</f>
        <v>17280000</v>
      </c>
      <c r="AP41" s="8">
        <f t="shared" si="20"/>
        <v>17280000</v>
      </c>
      <c r="AQ41" s="8">
        <f t="shared" si="20"/>
        <v>17280000</v>
      </c>
      <c r="AR41" s="8">
        <f t="shared" ref="AR41:AY41" si="21">48*360*1000</f>
        <v>17280000</v>
      </c>
      <c r="AS41" s="8">
        <f t="shared" si="21"/>
        <v>17280000</v>
      </c>
      <c r="AT41" s="8">
        <f t="shared" si="21"/>
        <v>17280000</v>
      </c>
      <c r="AU41" s="8">
        <f t="shared" si="21"/>
        <v>17280000</v>
      </c>
      <c r="AV41" s="8">
        <f t="shared" si="21"/>
        <v>17280000</v>
      </c>
      <c r="AW41" s="8">
        <f t="shared" si="21"/>
        <v>17280000</v>
      </c>
      <c r="AX41" s="45">
        <f t="shared" si="21"/>
        <v>17280000</v>
      </c>
      <c r="AY41" s="45">
        <f t="shared" si="21"/>
        <v>17280000</v>
      </c>
      <c r="AZ41" s="8"/>
    </row>
    <row r="42" spans="1:52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/>
      <c r="AF42" s="103" t="s">
        <v>16</v>
      </c>
      <c r="AG42" s="103" t="s">
        <v>16</v>
      </c>
      <c r="AH42" s="103" t="s">
        <v>16</v>
      </c>
      <c r="AI42" s="12" t="s">
        <v>16</v>
      </c>
      <c r="AJ42" s="12" t="s">
        <v>16</v>
      </c>
      <c r="AK42" s="12" t="s">
        <v>16</v>
      </c>
      <c r="AL42" s="12" t="s">
        <v>16</v>
      </c>
      <c r="AM42" s="12" t="s">
        <v>16</v>
      </c>
      <c r="AN42" s="12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8" t="s">
        <v>16</v>
      </c>
      <c r="AV42" s="8" t="s">
        <v>16</v>
      </c>
      <c r="AW42" s="8" t="s">
        <v>16</v>
      </c>
      <c r="AX42" s="45" t="s">
        <v>16</v>
      </c>
      <c r="AY42" s="45" t="s">
        <v>16</v>
      </c>
      <c r="AZ42" s="8"/>
    </row>
    <row r="43" spans="1:52">
      <c r="A43" s="7" t="s">
        <v>71</v>
      </c>
      <c r="B43" s="12">
        <f>B39+10*LOG10(B41)</f>
        <v>-94.624562618571289</v>
      </c>
      <c r="C43" s="12">
        <f>C39+10*LOG10(C41)</f>
        <v>-94.624562618571289</v>
      </c>
      <c r="D43" s="12">
        <f>D39+10*LOG10(D41)</f>
        <v>-94.624562618571289</v>
      </c>
      <c r="E43" s="12">
        <f>E39+10*LOG10(E41)</f>
        <v>-94.624562618571289</v>
      </c>
      <c r="F43" s="12"/>
      <c r="G43" s="12">
        <f t="shared" ref="G43:AD43" si="22">G39+10*LOG10(G41)</f>
        <v>-94.624562618571289</v>
      </c>
      <c r="H43" s="71">
        <f t="shared" si="22"/>
        <v>-94.624562618571289</v>
      </c>
      <c r="I43" s="71">
        <f t="shared" si="22"/>
        <v>-94.624562618571289</v>
      </c>
      <c r="J43" s="71">
        <f t="shared" si="22"/>
        <v>-94.624562618571289</v>
      </c>
      <c r="K43" s="12">
        <f t="shared" si="22"/>
        <v>-94.624562618571289</v>
      </c>
      <c r="L43" s="12">
        <f t="shared" si="22"/>
        <v>-94.624562618571289</v>
      </c>
      <c r="M43" s="12">
        <f t="shared" si="22"/>
        <v>-94.624562618571289</v>
      </c>
      <c r="N43" s="12">
        <f t="shared" si="22"/>
        <v>-92.613750977881651</v>
      </c>
      <c r="O43" s="12">
        <f t="shared" si="22"/>
        <v>-92.613750977881651</v>
      </c>
      <c r="P43" s="12">
        <f t="shared" si="22"/>
        <v>-92.613750977881651</v>
      </c>
      <c r="Q43" s="12">
        <f t="shared" si="22"/>
        <v>-94.624562618571289</v>
      </c>
      <c r="R43" s="12">
        <f t="shared" si="22"/>
        <v>-94.624562618571289</v>
      </c>
      <c r="S43" s="12">
        <f t="shared" si="22"/>
        <v>-94.624562618571289</v>
      </c>
      <c r="T43" s="8">
        <f t="shared" si="22"/>
        <v>-94.624562618571289</v>
      </c>
      <c r="U43" s="8">
        <f t="shared" si="22"/>
        <v>-94.624562618571289</v>
      </c>
      <c r="V43" s="8">
        <f t="shared" si="22"/>
        <v>-94.624562618571289</v>
      </c>
      <c r="W43" s="8">
        <f t="shared" si="22"/>
        <v>-92.613750977881651</v>
      </c>
      <c r="X43" s="8">
        <f t="shared" si="22"/>
        <v>-92.613750977881651</v>
      </c>
      <c r="Y43" s="8">
        <f t="shared" si="22"/>
        <v>-92.613750977881651</v>
      </c>
      <c r="Z43" s="12">
        <f t="shared" si="22"/>
        <v>-94.624562618571289</v>
      </c>
      <c r="AA43" s="12">
        <f t="shared" si="22"/>
        <v>-94.624562618571289</v>
      </c>
      <c r="AB43" s="12">
        <f t="shared" si="22"/>
        <v>-94.624562618571289</v>
      </c>
      <c r="AC43" s="12">
        <f t="shared" si="22"/>
        <v>-92.613750977881651</v>
      </c>
      <c r="AD43" s="12">
        <f t="shared" si="22"/>
        <v>-92.613750977881651</v>
      </c>
      <c r="AE43" s="12"/>
      <c r="AF43" s="103">
        <f>AF39+10*LOG10(AF41)</f>
        <v>-92.613750977881651</v>
      </c>
      <c r="AG43" s="103">
        <f>AG39+10*LOG10(AG41)</f>
        <v>-92.613750977881651</v>
      </c>
      <c r="AH43" s="103">
        <f>AH39+10*LOG10(AH41)</f>
        <v>-92.613750977881651</v>
      </c>
      <c r="AI43" s="12">
        <f t="shared" ref="AI43:AY43" si="23">AI39+10*LOG10(AI41)</f>
        <v>-92.613750977881651</v>
      </c>
      <c r="AJ43" s="12">
        <f t="shared" si="23"/>
        <v>-92.613750977881651</v>
      </c>
      <c r="AK43" s="12">
        <f t="shared" si="23"/>
        <v>-92.613750977881651</v>
      </c>
      <c r="AL43" s="12">
        <f t="shared" si="23"/>
        <v>-94.624562618571289</v>
      </c>
      <c r="AM43" s="12">
        <f t="shared" si="23"/>
        <v>-94.624562618571289</v>
      </c>
      <c r="AN43" s="12">
        <f t="shared" si="23"/>
        <v>-94.624562618571289</v>
      </c>
      <c r="AO43" s="8">
        <f t="shared" si="23"/>
        <v>-92.613750977881651</v>
      </c>
      <c r="AP43" s="8">
        <f t="shared" si="23"/>
        <v>-92.613750977881651</v>
      </c>
      <c r="AQ43" s="8">
        <f t="shared" si="23"/>
        <v>-92.613750977881651</v>
      </c>
      <c r="AR43" s="8">
        <f t="shared" si="23"/>
        <v>-94.624562618571289</v>
      </c>
      <c r="AS43" s="8">
        <f t="shared" si="23"/>
        <v>-94.624562618571289</v>
      </c>
      <c r="AT43" s="8">
        <f t="shared" si="23"/>
        <v>-94.624562618571289</v>
      </c>
      <c r="AU43" s="8">
        <f t="shared" si="23"/>
        <v>-94.624562618571289</v>
      </c>
      <c r="AV43" s="8">
        <f t="shared" si="23"/>
        <v>-94.624562618571289</v>
      </c>
      <c r="AW43" s="8">
        <f t="shared" si="23"/>
        <v>-94.624562618571289</v>
      </c>
      <c r="AX43" s="45">
        <f t="shared" si="23"/>
        <v>-94.624562618571289</v>
      </c>
      <c r="AY43" s="45">
        <f t="shared" si="23"/>
        <v>-94.624562618571289</v>
      </c>
      <c r="AZ43" s="8"/>
    </row>
    <row r="44" spans="1:52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/>
      <c r="AF44" s="104" t="s">
        <v>16</v>
      </c>
      <c r="AG44" s="104" t="s">
        <v>16</v>
      </c>
      <c r="AH44" s="104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  <c r="AU44" s="9" t="s">
        <v>16</v>
      </c>
      <c r="AV44" s="9" t="s">
        <v>16</v>
      </c>
      <c r="AW44" s="9" t="s">
        <v>16</v>
      </c>
      <c r="AX44" s="88" t="s">
        <v>16</v>
      </c>
      <c r="AY44" s="88" t="s">
        <v>16</v>
      </c>
      <c r="AZ44" s="9"/>
    </row>
    <row r="45" spans="1:52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  <c r="AC45" s="16">
        <v>-11.65</v>
      </c>
      <c r="AD45" s="16">
        <v>-9</v>
      </c>
      <c r="AE45" s="16"/>
      <c r="AF45" s="107">
        <v>-12.2</v>
      </c>
      <c r="AG45" s="107">
        <v>-9.6999999999999993</v>
      </c>
      <c r="AH45" s="107">
        <v>-6.8</v>
      </c>
      <c r="AI45" s="16">
        <v>-11.23</v>
      </c>
      <c r="AJ45" s="16">
        <v>-8.19</v>
      </c>
      <c r="AK45" s="16">
        <v>-5.1100000000000003</v>
      </c>
      <c r="AL45" s="16">
        <v>-10.199999999999999</v>
      </c>
      <c r="AM45" s="16">
        <v>-7.2</v>
      </c>
      <c r="AN45" s="16">
        <v>-4.2</v>
      </c>
      <c r="AO45" s="16">
        <v>-11.7</v>
      </c>
      <c r="AP45" s="16">
        <v>-8.6</v>
      </c>
      <c r="AQ45" s="16">
        <v>-5.2</v>
      </c>
      <c r="AR45" s="16">
        <v>-9.1999999999999993</v>
      </c>
      <c r="AS45" s="16">
        <v>-6</v>
      </c>
      <c r="AT45" s="16">
        <v>-3</v>
      </c>
      <c r="AU45" s="16">
        <v>-9.6999999999999993</v>
      </c>
      <c r="AV45" s="16">
        <v>-7</v>
      </c>
      <c r="AW45" s="16">
        <v>-3.8</v>
      </c>
      <c r="AX45" s="52">
        <v>-11.2</v>
      </c>
      <c r="AY45" s="52">
        <v>-8.3000000000000007</v>
      </c>
      <c r="AZ45" s="16"/>
    </row>
    <row r="46" spans="1:52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/>
      <c r="AF46" s="103" t="s">
        <v>16</v>
      </c>
      <c r="AG46" s="103" t="s">
        <v>16</v>
      </c>
      <c r="AH46" s="103" t="s">
        <v>16</v>
      </c>
      <c r="AI46" s="12" t="s">
        <v>16</v>
      </c>
      <c r="AJ46" s="12" t="s">
        <v>16</v>
      </c>
      <c r="AK46" s="12" t="s">
        <v>16</v>
      </c>
      <c r="AL46" s="12" t="s">
        <v>16</v>
      </c>
      <c r="AM46" s="12" t="s">
        <v>16</v>
      </c>
      <c r="AN46" s="12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  <c r="AU46" s="8" t="s">
        <v>16</v>
      </c>
      <c r="AV46" s="8" t="s">
        <v>16</v>
      </c>
      <c r="AW46" s="8" t="s">
        <v>16</v>
      </c>
      <c r="AX46" s="45" t="s">
        <v>16</v>
      </c>
      <c r="AY46" s="45" t="s">
        <v>16</v>
      </c>
      <c r="AZ46" s="8"/>
    </row>
    <row r="47" spans="1:5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03">
        <v>2</v>
      </c>
      <c r="AG47" s="103">
        <v>2</v>
      </c>
      <c r="AH47" s="103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  <c r="AX47" s="45">
        <v>2</v>
      </c>
      <c r="AY47" s="45">
        <v>2</v>
      </c>
      <c r="AZ47" s="8"/>
    </row>
    <row r="48" spans="1:52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/>
      <c r="AF48" s="103">
        <v>0</v>
      </c>
      <c r="AG48" s="103">
        <v>0</v>
      </c>
      <c r="AH48" s="103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45">
        <v>0</v>
      </c>
      <c r="AY48" s="45">
        <v>0</v>
      </c>
      <c r="AZ48" s="8"/>
    </row>
    <row r="49" spans="1:52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/>
      <c r="AF49" s="104" t="s">
        <v>16</v>
      </c>
      <c r="AG49" s="104" t="s">
        <v>16</v>
      </c>
      <c r="AH49" s="104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  <c r="AU49" s="9" t="s">
        <v>16</v>
      </c>
      <c r="AV49" s="9" t="s">
        <v>16</v>
      </c>
      <c r="AW49" s="9" t="s">
        <v>16</v>
      </c>
      <c r="AX49" s="88" t="s">
        <v>16</v>
      </c>
      <c r="AY49" s="88" t="s">
        <v>16</v>
      </c>
      <c r="AZ49" s="9"/>
    </row>
    <row r="50" spans="1:52" ht="27.6">
      <c r="A50" s="7" t="s">
        <v>80</v>
      </c>
      <c r="B50" s="12">
        <f>B43+B45+B47-B48</f>
        <v>-103.92456261857129</v>
      </c>
      <c r="C50" s="12">
        <f>C43+C45+C47-C48</f>
        <v>-100.92456261857129</v>
      </c>
      <c r="D50" s="12">
        <f>D43+D45+D47-D48</f>
        <v>-97.424562618571287</v>
      </c>
      <c r="E50" s="12">
        <f>E43+E45+E47-E48</f>
        <v>-104.17456261857129</v>
      </c>
      <c r="F50" s="12"/>
      <c r="G50" s="12">
        <f t="shared" ref="G50:AD50" si="24">G43+G45+G47-G48</f>
        <v>-98.01456261857129</v>
      </c>
      <c r="H50" s="71">
        <f t="shared" si="24"/>
        <v>-105.31456261857129</v>
      </c>
      <c r="I50" s="71">
        <f t="shared" si="24"/>
        <v>-102.00456261857128</v>
      </c>
      <c r="J50" s="71">
        <f t="shared" si="24"/>
        <v>-98.044562618571291</v>
      </c>
      <c r="K50" s="12">
        <f t="shared" si="24"/>
        <v>-102.51456261857129</v>
      </c>
      <c r="L50" s="12">
        <f t="shared" si="24"/>
        <v>-100.0245626185713</v>
      </c>
      <c r="M50" s="12">
        <f t="shared" si="24"/>
        <v>-96.324562618571292</v>
      </c>
      <c r="N50" s="12">
        <f t="shared" si="24"/>
        <v>-99.033750977881652</v>
      </c>
      <c r="O50" s="12">
        <f t="shared" si="24"/>
        <v>-96.433750977881658</v>
      </c>
      <c r="P50" s="12">
        <f t="shared" si="24"/>
        <v>-93.233750977881655</v>
      </c>
      <c r="Q50" s="12">
        <f t="shared" si="24"/>
        <v>-104.12456261857129</v>
      </c>
      <c r="R50" s="12">
        <f t="shared" si="24"/>
        <v>-101.62456261857129</v>
      </c>
      <c r="S50" s="12">
        <f t="shared" si="24"/>
        <v>-98.474562618571284</v>
      </c>
      <c r="T50" s="8">
        <f t="shared" si="24"/>
        <v>-100.62456261857129</v>
      </c>
      <c r="U50" s="8">
        <f t="shared" si="24"/>
        <v>-97.824562618571292</v>
      </c>
      <c r="V50" s="8">
        <f t="shared" si="24"/>
        <v>-95.224562618571284</v>
      </c>
      <c r="W50" s="8">
        <f t="shared" si="24"/>
        <v>-99.113750977881651</v>
      </c>
      <c r="X50" s="8">
        <f t="shared" si="24"/>
        <v>-96.313750977881654</v>
      </c>
      <c r="Y50" s="8">
        <f t="shared" si="24"/>
        <v>-92.313750977881654</v>
      </c>
      <c r="Z50" s="12">
        <f t="shared" si="24"/>
        <v>-103.49456261857129</v>
      </c>
      <c r="AA50" s="12">
        <f t="shared" si="24"/>
        <v>-100.68456261857129</v>
      </c>
      <c r="AB50" s="12">
        <f t="shared" si="24"/>
        <v>-97.254562618571285</v>
      </c>
      <c r="AC50" s="12">
        <f t="shared" si="24"/>
        <v>-102.26375097788166</v>
      </c>
      <c r="AD50" s="12">
        <f t="shared" si="24"/>
        <v>-99.613750977881651</v>
      </c>
      <c r="AE50" s="12"/>
      <c r="AF50" s="103">
        <f>AF43+AF45+AF47-AF48</f>
        <v>-102.81375097788165</v>
      </c>
      <c r="AG50" s="103">
        <f>AG43+AG45+AG47-AG48</f>
        <v>-100.31375097788165</v>
      </c>
      <c r="AH50" s="103">
        <f>AH43+AH45+AH47-AH48</f>
        <v>-97.413750977881648</v>
      </c>
      <c r="AI50" s="12">
        <f t="shared" ref="AI50:AY50" si="25">AI43+AI45+AI47-AI48</f>
        <v>-101.84375097788165</v>
      </c>
      <c r="AJ50" s="12">
        <f t="shared" si="25"/>
        <v>-98.803750977881649</v>
      </c>
      <c r="AK50" s="12">
        <f t="shared" si="25"/>
        <v>-95.72375097788165</v>
      </c>
      <c r="AL50" s="12">
        <f t="shared" si="25"/>
        <v>-102.82456261857129</v>
      </c>
      <c r="AM50" s="12">
        <f t="shared" si="25"/>
        <v>-99.824562618571292</v>
      </c>
      <c r="AN50" s="12">
        <f t="shared" si="25"/>
        <v>-96.824562618571292</v>
      </c>
      <c r="AO50" s="8">
        <f t="shared" si="25"/>
        <v>-102.31375097788165</v>
      </c>
      <c r="AP50" s="8">
        <f t="shared" si="25"/>
        <v>-99.213750977881645</v>
      </c>
      <c r="AQ50" s="8">
        <f t="shared" si="25"/>
        <v>-95.813750977881654</v>
      </c>
      <c r="AR50" s="8">
        <f t="shared" si="25"/>
        <v>-101.82456261857129</v>
      </c>
      <c r="AS50" s="8">
        <f t="shared" si="25"/>
        <v>-98.624562618571289</v>
      </c>
      <c r="AT50" s="8">
        <f t="shared" si="25"/>
        <v>-95.624562618571289</v>
      </c>
      <c r="AU50" s="8">
        <f t="shared" si="25"/>
        <v>-102.32456261857129</v>
      </c>
      <c r="AV50" s="8">
        <f t="shared" si="25"/>
        <v>-99.624562618571289</v>
      </c>
      <c r="AW50" s="8">
        <f t="shared" si="25"/>
        <v>-96.424562618571287</v>
      </c>
      <c r="AX50" s="45">
        <f t="shared" si="25"/>
        <v>-103.82456261857129</v>
      </c>
      <c r="AY50" s="45">
        <f t="shared" si="25"/>
        <v>-100.92456261857129</v>
      </c>
      <c r="AZ50" s="8"/>
    </row>
    <row r="51" spans="1:52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/>
      <c r="AF51" s="104" t="s">
        <v>16</v>
      </c>
      <c r="AG51" s="104" t="s">
        <v>16</v>
      </c>
      <c r="AH51" s="104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  <c r="AU51" s="9" t="s">
        <v>16</v>
      </c>
      <c r="AV51" s="9" t="s">
        <v>16</v>
      </c>
      <c r="AW51" s="9" t="s">
        <v>16</v>
      </c>
      <c r="AX51" s="88" t="s">
        <v>16</v>
      </c>
      <c r="AY51" s="88" t="s">
        <v>16</v>
      </c>
      <c r="AZ51" s="9"/>
    </row>
    <row r="52" spans="1:52" ht="27.6">
      <c r="A52" s="21" t="s">
        <v>83</v>
      </c>
      <c r="B52" s="22">
        <f>B25+B30+B33-B34-B50</f>
        <v>170.07121254719667</v>
      </c>
      <c r="C52" s="22">
        <f>C25+C30+C33-C34-C50</f>
        <v>164.07121254719667</v>
      </c>
      <c r="D52" s="22">
        <f>D25+D30+D33-D34-D50</f>
        <v>160.57121254719667</v>
      </c>
      <c r="E52" s="22">
        <f>E25+E30+E33-E34-E50</f>
        <v>167.41121254719667</v>
      </c>
      <c r="F52" s="22"/>
      <c r="G52" s="22">
        <f t="shared" ref="G52:AD52" si="26">G25+G30+G33-G34-G50</f>
        <v>158.25121254719664</v>
      </c>
      <c r="H52" s="76">
        <f t="shared" si="26"/>
        <v>171.46121254719668</v>
      </c>
      <c r="I52" s="76">
        <f t="shared" si="26"/>
        <v>165.15121254719668</v>
      </c>
      <c r="J52" s="76">
        <f t="shared" si="26"/>
        <v>161.19121254719667</v>
      </c>
      <c r="K52" s="22">
        <f t="shared" si="26"/>
        <v>168.66121254719667</v>
      </c>
      <c r="L52" s="22">
        <f t="shared" si="26"/>
        <v>163.17121254719666</v>
      </c>
      <c r="M52" s="22">
        <f t="shared" si="26"/>
        <v>159.47121254719667</v>
      </c>
      <c r="N52" s="22">
        <f t="shared" si="26"/>
        <v>165.58190068970609</v>
      </c>
      <c r="O52" s="22">
        <f t="shared" si="26"/>
        <v>159.98190068970609</v>
      </c>
      <c r="P52" s="22">
        <f t="shared" si="26"/>
        <v>156.78190068970611</v>
      </c>
      <c r="Q52" s="22">
        <f t="shared" si="26"/>
        <v>166.27121254719668</v>
      </c>
      <c r="R52" s="22">
        <f t="shared" si="26"/>
        <v>160.77121254719668</v>
      </c>
      <c r="S52" s="22">
        <f t="shared" si="26"/>
        <v>157.62121254719665</v>
      </c>
      <c r="T52" s="22">
        <f t="shared" si="26"/>
        <v>166.77121254719668</v>
      </c>
      <c r="U52" s="22">
        <f t="shared" si="26"/>
        <v>160.97121254719667</v>
      </c>
      <c r="V52" s="22">
        <f t="shared" si="26"/>
        <v>158.37121254719665</v>
      </c>
      <c r="W52" s="22">
        <f t="shared" si="26"/>
        <v>168.31040090650703</v>
      </c>
      <c r="X52" s="22">
        <f t="shared" si="26"/>
        <v>162.51040090650702</v>
      </c>
      <c r="Y52" s="22">
        <f t="shared" si="26"/>
        <v>158.51040090650702</v>
      </c>
      <c r="Z52" s="22">
        <f t="shared" si="26"/>
        <v>169.64121254719669</v>
      </c>
      <c r="AA52" s="22">
        <f t="shared" si="26"/>
        <v>163.83121254719669</v>
      </c>
      <c r="AB52" s="22">
        <f t="shared" si="26"/>
        <v>160.40121254719668</v>
      </c>
      <c r="AC52" s="22">
        <f t="shared" si="26"/>
        <v>168.41040090650705</v>
      </c>
      <c r="AD52" s="22">
        <f t="shared" si="26"/>
        <v>162.76040090650702</v>
      </c>
      <c r="AE52" s="22"/>
      <c r="AF52" s="108">
        <f>AF25+AF30+AF33-AF34-AF50</f>
        <v>168.96040090650703</v>
      </c>
      <c r="AG52" s="108">
        <f t="shared" ref="AG52:AH52" si="27">AG25+AG30+AG33-AG34-AG50</f>
        <v>163.46040090650703</v>
      </c>
      <c r="AH52" s="108">
        <f t="shared" si="27"/>
        <v>160.56040090650703</v>
      </c>
      <c r="AI52" s="22">
        <f t="shared" ref="AI52:AW52" si="28">AI25+AI30+AI33-AI34-AI50</f>
        <v>167.99040090650703</v>
      </c>
      <c r="AJ52" s="22">
        <f t="shared" si="28"/>
        <v>161.95040090650701</v>
      </c>
      <c r="AK52" s="22">
        <f t="shared" si="28"/>
        <v>158.87040090650703</v>
      </c>
      <c r="AL52" s="22">
        <f t="shared" si="28"/>
        <v>168.97121254719667</v>
      </c>
      <c r="AM52" s="22">
        <f t="shared" si="28"/>
        <v>162.97121254719667</v>
      </c>
      <c r="AN52" s="22">
        <f t="shared" si="28"/>
        <v>159.97121254719667</v>
      </c>
      <c r="AO52" s="22">
        <f t="shared" si="28"/>
        <v>168.46040090650703</v>
      </c>
      <c r="AP52" s="22">
        <f t="shared" si="28"/>
        <v>162.36040090650704</v>
      </c>
      <c r="AQ52" s="22">
        <f t="shared" si="28"/>
        <v>158.96040090650703</v>
      </c>
      <c r="AR52" s="22">
        <f t="shared" si="28"/>
        <v>161.97121254719667</v>
      </c>
      <c r="AS52" s="22">
        <f t="shared" si="28"/>
        <v>155.77121254719668</v>
      </c>
      <c r="AT52" s="22">
        <f t="shared" si="28"/>
        <v>152.77121254719668</v>
      </c>
      <c r="AU52" s="22">
        <f t="shared" si="28"/>
        <v>168.47121254719667</v>
      </c>
      <c r="AV52" s="22">
        <f t="shared" si="28"/>
        <v>162.77121254719668</v>
      </c>
      <c r="AW52" s="22">
        <f t="shared" si="28"/>
        <v>159.57121254719667</v>
      </c>
      <c r="AX52" s="58">
        <f>AX25+AX30+AX33-AX34-AX50</f>
        <v>166.94121254719667</v>
      </c>
      <c r="AY52" s="58">
        <f t="shared" ref="AY52" si="29">AY25+AY30+AY33-AY34-AY50</f>
        <v>161.04121254719666</v>
      </c>
      <c r="AZ52" s="22"/>
    </row>
    <row r="53" spans="1:52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 t="s">
        <v>16</v>
      </c>
      <c r="AE53" s="24"/>
      <c r="AF53" s="110" t="s">
        <v>16</v>
      </c>
      <c r="AG53" s="110" t="s">
        <v>16</v>
      </c>
      <c r="AH53" s="110" t="s">
        <v>16</v>
      </c>
      <c r="AI53" s="24" t="s">
        <v>16</v>
      </c>
      <c r="AJ53" s="24" t="s">
        <v>16</v>
      </c>
      <c r="AK53" s="24" t="s">
        <v>16</v>
      </c>
      <c r="AL53" s="24" t="s">
        <v>16</v>
      </c>
      <c r="AM53" s="24" t="s">
        <v>16</v>
      </c>
      <c r="AN53" s="24" t="s">
        <v>16</v>
      </c>
      <c r="AO53" s="85" t="s">
        <v>16</v>
      </c>
      <c r="AP53" s="85" t="s">
        <v>16</v>
      </c>
      <c r="AQ53" s="85" t="s">
        <v>16</v>
      </c>
      <c r="AR53" s="85" t="s">
        <v>16</v>
      </c>
      <c r="AS53" s="85" t="s">
        <v>16</v>
      </c>
      <c r="AT53" s="85" t="s">
        <v>16</v>
      </c>
      <c r="AU53" s="85" t="s">
        <v>16</v>
      </c>
      <c r="AV53" s="85" t="s">
        <v>16</v>
      </c>
      <c r="AW53" s="85" t="s">
        <v>16</v>
      </c>
      <c r="AX53" s="89" t="s">
        <v>16</v>
      </c>
      <c r="AY53" s="89" t="s">
        <v>16</v>
      </c>
      <c r="AZ53" s="85"/>
    </row>
    <row r="54" spans="1:52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06"/>
      <c r="AG54" s="106"/>
      <c r="AH54" s="106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51"/>
      <c r="AY54" s="51"/>
      <c r="AZ54" s="13"/>
    </row>
    <row r="55" spans="1:52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109">
        <v>7</v>
      </c>
      <c r="AG55" s="109">
        <v>7</v>
      </c>
      <c r="AH55" s="109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  <c r="AU55" s="82">
        <v>7</v>
      </c>
      <c r="AV55" s="82">
        <v>7</v>
      </c>
      <c r="AW55" s="82">
        <v>7</v>
      </c>
      <c r="AX55" s="83">
        <v>7</v>
      </c>
      <c r="AY55" s="83">
        <v>7</v>
      </c>
      <c r="AZ55" s="82"/>
    </row>
    <row r="56" spans="1:52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  <c r="AC56" s="82">
        <v>7.56</v>
      </c>
      <c r="AD56" s="82">
        <v>7.56</v>
      </c>
      <c r="AE56" s="82"/>
      <c r="AF56" s="109">
        <v>7.56</v>
      </c>
      <c r="AG56" s="109">
        <v>7.56</v>
      </c>
      <c r="AH56" s="109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  <c r="AQ56" s="82">
        <v>7.56</v>
      </c>
      <c r="AR56" s="82">
        <v>7.56</v>
      </c>
      <c r="AS56" s="82">
        <v>7.56</v>
      </c>
      <c r="AT56" s="82">
        <v>7.56</v>
      </c>
      <c r="AU56" s="82">
        <v>7.56</v>
      </c>
      <c r="AV56" s="82">
        <v>7.56</v>
      </c>
      <c r="AW56" s="82">
        <v>7.56</v>
      </c>
      <c r="AX56" s="83">
        <v>7.56</v>
      </c>
      <c r="AY56" s="83">
        <v>7.56</v>
      </c>
      <c r="AZ56" s="82"/>
    </row>
    <row r="57" spans="1:52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 t="s">
        <v>16</v>
      </c>
      <c r="AE57" s="25"/>
      <c r="AF57" s="104" t="s">
        <v>16</v>
      </c>
      <c r="AG57" s="104" t="s">
        <v>16</v>
      </c>
      <c r="AH57" s="104" t="s">
        <v>16</v>
      </c>
      <c r="AI57" s="25" t="s">
        <v>16</v>
      </c>
      <c r="AJ57" s="25" t="s">
        <v>16</v>
      </c>
      <c r="AK57" s="25" t="s">
        <v>16</v>
      </c>
      <c r="AL57" s="25" t="s">
        <v>16</v>
      </c>
      <c r="AM57" s="25" t="s">
        <v>16</v>
      </c>
      <c r="AN57" s="25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  <c r="AU57" s="9" t="s">
        <v>16</v>
      </c>
      <c r="AV57" s="9" t="s">
        <v>16</v>
      </c>
      <c r="AW57" s="9" t="s">
        <v>16</v>
      </c>
      <c r="AX57" s="88" t="s">
        <v>16</v>
      </c>
      <c r="AY57" s="88" t="s">
        <v>16</v>
      </c>
      <c r="AZ57" s="9"/>
    </row>
    <row r="58" spans="1:52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109">
        <v>0</v>
      </c>
      <c r="AG58" s="109">
        <v>0</v>
      </c>
      <c r="AH58" s="109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82">
        <v>0</v>
      </c>
      <c r="AV58" s="82">
        <v>0</v>
      </c>
      <c r="AW58" s="82">
        <v>0</v>
      </c>
      <c r="AX58" s="83">
        <v>0</v>
      </c>
      <c r="AY58" s="83">
        <v>0</v>
      </c>
      <c r="AZ58" s="82"/>
    </row>
    <row r="59" spans="1:52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109">
        <v>26.25</v>
      </c>
      <c r="AG59" s="109">
        <v>26.25</v>
      </c>
      <c r="AH59" s="109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  <c r="AU59" s="82">
        <v>26.25</v>
      </c>
      <c r="AV59" s="82">
        <v>26.25</v>
      </c>
      <c r="AW59" s="82">
        <v>26.25</v>
      </c>
      <c r="AX59" s="83">
        <v>26.25</v>
      </c>
      <c r="AY59" s="83">
        <v>26.25</v>
      </c>
      <c r="AZ59" s="82"/>
    </row>
    <row r="60" spans="1:52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109">
        <v>0</v>
      </c>
      <c r="AG60" s="109">
        <v>0</v>
      </c>
      <c r="AH60" s="109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  <c r="AU60" s="82">
        <v>0</v>
      </c>
      <c r="AV60" s="82">
        <v>0</v>
      </c>
      <c r="AW60" s="82">
        <v>0</v>
      </c>
      <c r="AX60" s="83">
        <v>0</v>
      </c>
      <c r="AY60" s="83">
        <v>0</v>
      </c>
      <c r="AZ60" s="82"/>
    </row>
    <row r="61" spans="1:52" ht="27.6">
      <c r="A61" s="21" t="s">
        <v>108</v>
      </c>
      <c r="B61" s="22">
        <f>B52-B56+B58-B59+B60</f>
        <v>136.26121254719666</v>
      </c>
      <c r="C61" s="22">
        <f>C52-C56+C58-C59+C60</f>
        <v>130.26121254719666</v>
      </c>
      <c r="D61" s="22">
        <f>D52-D56+D58-D59+D60</f>
        <v>126.76121254719666</v>
      </c>
      <c r="E61" s="22">
        <f>E52-E56+E58-E59+E60</f>
        <v>133.60121254719667</v>
      </c>
      <c r="F61" s="22"/>
      <c r="G61" s="22">
        <f t="shared" ref="G61:AD61" si="30">G52-G56+G58-G59+G60</f>
        <v>124.44121254719664</v>
      </c>
      <c r="H61" s="76">
        <f t="shared" si="30"/>
        <v>137.65121254719668</v>
      </c>
      <c r="I61" s="76">
        <f t="shared" si="30"/>
        <v>131.34121254719668</v>
      </c>
      <c r="J61" s="76">
        <f t="shared" si="30"/>
        <v>127.38121254719667</v>
      </c>
      <c r="K61" s="22">
        <f t="shared" si="30"/>
        <v>134.85121254719667</v>
      </c>
      <c r="L61" s="22">
        <f t="shared" si="30"/>
        <v>129.36121254719666</v>
      </c>
      <c r="M61" s="22">
        <f t="shared" si="30"/>
        <v>125.66121254719667</v>
      </c>
      <c r="N61" s="22">
        <f t="shared" si="30"/>
        <v>131.77190068970609</v>
      </c>
      <c r="O61" s="22">
        <f t="shared" si="30"/>
        <v>126.17190068970609</v>
      </c>
      <c r="P61" s="22">
        <f t="shared" si="30"/>
        <v>122.9719006897061</v>
      </c>
      <c r="Q61" s="22">
        <f t="shared" si="30"/>
        <v>132.46121254719668</v>
      </c>
      <c r="R61" s="22">
        <f t="shared" si="30"/>
        <v>126.96121254719668</v>
      </c>
      <c r="S61" s="22">
        <f t="shared" si="30"/>
        <v>123.81121254719665</v>
      </c>
      <c r="T61" s="22">
        <f t="shared" si="30"/>
        <v>132.96121254719668</v>
      </c>
      <c r="U61" s="22">
        <f t="shared" si="30"/>
        <v>127.16121254719667</v>
      </c>
      <c r="V61" s="22">
        <f t="shared" si="30"/>
        <v>124.56121254719665</v>
      </c>
      <c r="W61" s="22">
        <f t="shared" si="30"/>
        <v>134.48040090650701</v>
      </c>
      <c r="X61" s="22">
        <f t="shared" si="30"/>
        <v>128.680400906507</v>
      </c>
      <c r="Y61" s="22">
        <f t="shared" si="30"/>
        <v>124.680400906507</v>
      </c>
      <c r="Z61" s="22">
        <f t="shared" si="30"/>
        <v>135.83121254719669</v>
      </c>
      <c r="AA61" s="22">
        <f t="shared" si="30"/>
        <v>130.02121254719668</v>
      </c>
      <c r="AB61" s="22">
        <f t="shared" si="30"/>
        <v>126.59121254719668</v>
      </c>
      <c r="AC61" s="22">
        <f t="shared" si="30"/>
        <v>134.60040090650705</v>
      </c>
      <c r="AD61" s="22">
        <f t="shared" si="30"/>
        <v>128.95040090650701</v>
      </c>
      <c r="AE61" s="22"/>
      <c r="AF61" s="108">
        <f>AF52-AF56+AF58-AF59+AF60</f>
        <v>135.15040090650703</v>
      </c>
      <c r="AG61" s="108">
        <f t="shared" ref="AG61:AH61" si="31">AG52-AG56+AG58-AG59+AG60</f>
        <v>129.65040090650703</v>
      </c>
      <c r="AH61" s="108">
        <f t="shared" si="31"/>
        <v>126.75040090650702</v>
      </c>
      <c r="AI61" s="22">
        <f t="shared" ref="AI61:AW61" si="32">AI52-AI56+AI58-AI59+AI60</f>
        <v>137.18040090650703</v>
      </c>
      <c r="AJ61" s="22">
        <f t="shared" si="32"/>
        <v>131.14040090650701</v>
      </c>
      <c r="AK61" s="22">
        <f t="shared" si="32"/>
        <v>128.06040090650703</v>
      </c>
      <c r="AL61" s="22">
        <f t="shared" si="32"/>
        <v>135.16121254719667</v>
      </c>
      <c r="AM61" s="22">
        <f t="shared" si="32"/>
        <v>129.16121254719667</v>
      </c>
      <c r="AN61" s="22">
        <f t="shared" si="32"/>
        <v>126.16121254719667</v>
      </c>
      <c r="AO61" s="22">
        <f t="shared" si="32"/>
        <v>134.65040090650703</v>
      </c>
      <c r="AP61" s="22">
        <f t="shared" si="32"/>
        <v>128.55040090650704</v>
      </c>
      <c r="AQ61" s="22">
        <f t="shared" si="32"/>
        <v>125.15040090650703</v>
      </c>
      <c r="AR61" s="22">
        <f t="shared" si="32"/>
        <v>128.16121254719667</v>
      </c>
      <c r="AS61" s="22">
        <f t="shared" si="32"/>
        <v>121.96121254719668</v>
      </c>
      <c r="AT61" s="22">
        <f t="shared" si="32"/>
        <v>118.96121254719668</v>
      </c>
      <c r="AU61" s="22">
        <f t="shared" si="32"/>
        <v>134.66121254719667</v>
      </c>
      <c r="AV61" s="22">
        <f t="shared" si="32"/>
        <v>128.96121254719668</v>
      </c>
      <c r="AW61" s="22">
        <f t="shared" si="32"/>
        <v>125.76121254719666</v>
      </c>
      <c r="AX61" s="58">
        <f>AX52-AX56+AX58-AX59+AX60</f>
        <v>133.13121254719667</v>
      </c>
      <c r="AY61" s="58">
        <f t="shared" ref="AY61" si="33">AY52-AY56+AY58-AY59+AY60</f>
        <v>127.23121254719666</v>
      </c>
      <c r="AZ61" s="22"/>
    </row>
    <row r="62" spans="1:52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 t="s">
        <v>16</v>
      </c>
      <c r="AE62" s="24"/>
      <c r="AF62" s="110" t="s">
        <v>16</v>
      </c>
      <c r="AG62" s="110" t="s">
        <v>16</v>
      </c>
      <c r="AH62" s="110" t="s">
        <v>16</v>
      </c>
      <c r="AI62" s="24" t="s">
        <v>16</v>
      </c>
      <c r="AJ62" s="24" t="s">
        <v>16</v>
      </c>
      <c r="AK62" s="24" t="s">
        <v>16</v>
      </c>
      <c r="AL62" s="24" t="s">
        <v>16</v>
      </c>
      <c r="AM62" s="24" t="s">
        <v>16</v>
      </c>
      <c r="AN62" s="24" t="s">
        <v>16</v>
      </c>
      <c r="AO62" s="85" t="s">
        <v>16</v>
      </c>
      <c r="AP62" s="85" t="s">
        <v>16</v>
      </c>
      <c r="AQ62" s="85" t="s">
        <v>16</v>
      </c>
      <c r="AR62" s="85" t="s">
        <v>16</v>
      </c>
      <c r="AS62" s="85" t="s">
        <v>16</v>
      </c>
      <c r="AT62" s="85" t="s">
        <v>16</v>
      </c>
      <c r="AU62" s="85" t="s">
        <v>16</v>
      </c>
      <c r="AV62" s="85" t="s">
        <v>16</v>
      </c>
      <c r="AW62" s="85" t="s">
        <v>16</v>
      </c>
      <c r="AX62" s="89" t="s">
        <v>16</v>
      </c>
      <c r="AY62" s="89" t="s">
        <v>16</v>
      </c>
      <c r="AZ62" s="85"/>
    </row>
    <row r="63" spans="1:52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100"/>
      <c r="AG63" s="100"/>
      <c r="AH63" s="100"/>
      <c r="AJ63" s="2"/>
      <c r="AK63" s="2"/>
      <c r="AM63" s="2"/>
      <c r="AN63" s="2"/>
      <c r="AP63" s="2"/>
      <c r="AQ63" s="2"/>
      <c r="AS63" s="2"/>
      <c r="AT63" s="2"/>
      <c r="AU63" s="2"/>
      <c r="AV63" s="2"/>
      <c r="AW63" s="2"/>
      <c r="AX63" s="90"/>
      <c r="AY63" s="90"/>
      <c r="AZ63" s="2"/>
    </row>
    <row r="64" spans="1:52">
      <c r="A64" s="21" t="s">
        <v>97</v>
      </c>
      <c r="B64" s="22">
        <f>B17+B22-B50+B21+B33</f>
        <v>161.30000000000004</v>
      </c>
      <c r="C64" s="22">
        <f>C17+C22-C50+C21+C33</f>
        <v>158.30000000000004</v>
      </c>
      <c r="D64" s="22">
        <f>D17+D22-D50+D21+D33</f>
        <v>154.80000000000004</v>
      </c>
      <c r="E64" s="22">
        <f>E17+E22-E50+E21+E33</f>
        <v>161.59000000000003</v>
      </c>
      <c r="F64" s="22"/>
      <c r="G64" s="22">
        <f t="shared" ref="G64:AD64" si="34">G17+G22-G50+G21+G33</f>
        <v>155.43000000000004</v>
      </c>
      <c r="H64" s="76">
        <f t="shared" si="34"/>
        <v>162.69000000000003</v>
      </c>
      <c r="I64" s="76">
        <f t="shared" si="34"/>
        <v>159.38000000000002</v>
      </c>
      <c r="J64" s="76">
        <f t="shared" si="34"/>
        <v>155.42000000000004</v>
      </c>
      <c r="K64" s="22">
        <f t="shared" si="34"/>
        <v>159.89000000000004</v>
      </c>
      <c r="L64" s="22">
        <f t="shared" si="34"/>
        <v>157.40000000000003</v>
      </c>
      <c r="M64" s="22">
        <f t="shared" si="34"/>
        <v>153.70000000000005</v>
      </c>
      <c r="N64" s="22">
        <f t="shared" si="34"/>
        <v>159.46068814250947</v>
      </c>
      <c r="O64" s="22">
        <f t="shared" si="34"/>
        <v>156.86068814250947</v>
      </c>
      <c r="P64" s="22">
        <f t="shared" si="34"/>
        <v>153.66068814250946</v>
      </c>
      <c r="Q64" s="22">
        <f t="shared" si="34"/>
        <v>157.50000000000003</v>
      </c>
      <c r="R64" s="22">
        <f t="shared" si="34"/>
        <v>155.00000000000003</v>
      </c>
      <c r="S64" s="22">
        <f t="shared" si="34"/>
        <v>151.85000000000002</v>
      </c>
      <c r="T64" s="22">
        <f t="shared" si="34"/>
        <v>158.00000000000003</v>
      </c>
      <c r="U64" s="22">
        <f t="shared" si="34"/>
        <v>155.20000000000005</v>
      </c>
      <c r="V64" s="22">
        <f t="shared" si="34"/>
        <v>152.60000000000002</v>
      </c>
      <c r="W64" s="22">
        <f t="shared" si="34"/>
        <v>159.5391883593104</v>
      </c>
      <c r="X64" s="22">
        <f t="shared" si="34"/>
        <v>156.73918835931042</v>
      </c>
      <c r="Y64" s="22">
        <f t="shared" si="34"/>
        <v>152.73918835931042</v>
      </c>
      <c r="Z64" s="22">
        <f t="shared" si="34"/>
        <v>160.87000000000003</v>
      </c>
      <c r="AA64" s="22">
        <f t="shared" si="34"/>
        <v>158.06000000000003</v>
      </c>
      <c r="AB64" s="22">
        <f t="shared" si="34"/>
        <v>154.63000000000002</v>
      </c>
      <c r="AC64" s="22">
        <f t="shared" si="34"/>
        <v>159.6391883593104</v>
      </c>
      <c r="AD64" s="22">
        <f t="shared" si="34"/>
        <v>156.98918835931039</v>
      </c>
      <c r="AE64" s="22"/>
      <c r="AF64" s="108">
        <f>AF17+AF22-AF50+AF21+AF33</f>
        <v>160.18918835931041</v>
      </c>
      <c r="AG64" s="108">
        <f>AG17+AG22-AG50+AG21+AG33</f>
        <v>157.68918835931041</v>
      </c>
      <c r="AH64" s="108">
        <f>AH17+AH22-AH50+AH21+AH33</f>
        <v>154.7891883593104</v>
      </c>
      <c r="AI64" s="22">
        <f t="shared" ref="AI64:AY64" si="35">AI17+AI22-AI50+AI21+AI33</f>
        <v>159.21918835931041</v>
      </c>
      <c r="AJ64" s="22">
        <f t="shared" si="35"/>
        <v>156.17918835931039</v>
      </c>
      <c r="AK64" s="22">
        <f t="shared" si="35"/>
        <v>153.0991883593104</v>
      </c>
      <c r="AL64" s="22">
        <f t="shared" si="35"/>
        <v>160.20000000000005</v>
      </c>
      <c r="AM64" s="22">
        <f t="shared" si="35"/>
        <v>157.20000000000005</v>
      </c>
      <c r="AN64" s="22">
        <f t="shared" si="35"/>
        <v>154.20000000000005</v>
      </c>
      <c r="AO64" s="22">
        <f t="shared" si="35"/>
        <v>159.68918835931041</v>
      </c>
      <c r="AP64" s="22">
        <f t="shared" si="35"/>
        <v>156.58918835931038</v>
      </c>
      <c r="AQ64" s="22">
        <f t="shared" si="35"/>
        <v>153.18918835931041</v>
      </c>
      <c r="AR64" s="22">
        <f t="shared" si="35"/>
        <v>157.20000000000005</v>
      </c>
      <c r="AS64" s="22">
        <f t="shared" si="35"/>
        <v>154.00000000000003</v>
      </c>
      <c r="AT64" s="22">
        <f t="shared" si="35"/>
        <v>151.00000000000003</v>
      </c>
      <c r="AU64" s="22">
        <f t="shared" si="35"/>
        <v>159.70000000000005</v>
      </c>
      <c r="AV64" s="22">
        <f t="shared" si="35"/>
        <v>157.00000000000003</v>
      </c>
      <c r="AW64" s="22">
        <f t="shared" si="35"/>
        <v>153.80000000000004</v>
      </c>
      <c r="AX64" s="58">
        <f t="shared" si="35"/>
        <v>161.20000000000005</v>
      </c>
      <c r="AY64" s="58">
        <f t="shared" si="35"/>
        <v>158.30000000000004</v>
      </c>
      <c r="AZ64" s="22"/>
    </row>
    <row r="65" spans="1:52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 t="s">
        <v>16</v>
      </c>
      <c r="AE65" s="24"/>
      <c r="AF65" s="110" t="s">
        <v>16</v>
      </c>
      <c r="AG65" s="110" t="s">
        <v>16</v>
      </c>
      <c r="AH65" s="110" t="s">
        <v>16</v>
      </c>
      <c r="AI65" s="24" t="s">
        <v>16</v>
      </c>
      <c r="AJ65" s="24" t="s">
        <v>16</v>
      </c>
      <c r="AK65" s="24" t="s">
        <v>16</v>
      </c>
      <c r="AL65" s="24" t="s">
        <v>16</v>
      </c>
      <c r="AM65" s="24" t="s">
        <v>16</v>
      </c>
      <c r="AN65" s="24" t="s">
        <v>16</v>
      </c>
      <c r="AO65" s="85" t="s">
        <v>16</v>
      </c>
      <c r="AP65" s="85" t="s">
        <v>16</v>
      </c>
      <c r="AQ65" s="85" t="s">
        <v>16</v>
      </c>
      <c r="AR65" s="85" t="s">
        <v>16</v>
      </c>
      <c r="AS65" s="85" t="s">
        <v>16</v>
      </c>
      <c r="AT65" s="85" t="s">
        <v>16</v>
      </c>
      <c r="AU65" s="85" t="s">
        <v>16</v>
      </c>
      <c r="AV65" s="85" t="s">
        <v>16</v>
      </c>
      <c r="AW65" s="85" t="s">
        <v>16</v>
      </c>
      <c r="AX65" s="89" t="s">
        <v>16</v>
      </c>
      <c r="AY65" s="89" t="s">
        <v>16</v>
      </c>
      <c r="AZ65" s="85"/>
    </row>
  </sheetData>
  <mergeCells count="17">
    <mergeCell ref="AF1:AH1"/>
    <mergeCell ref="AX1:AZ1"/>
    <mergeCell ref="Q1:S1"/>
    <mergeCell ref="B1:D1"/>
    <mergeCell ref="E1:G1"/>
    <mergeCell ref="H1:J1"/>
    <mergeCell ref="K1:M1"/>
    <mergeCell ref="N1:P1"/>
    <mergeCell ref="AU1:AW1"/>
    <mergeCell ref="AC1:AE1"/>
    <mergeCell ref="Z1:AB1"/>
    <mergeCell ref="W1:Y1"/>
    <mergeCell ref="T1:V1"/>
    <mergeCell ref="AR1:AT1"/>
    <mergeCell ref="AO1:AQ1"/>
    <mergeCell ref="AL1:AN1"/>
    <mergeCell ref="AI1:A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5"/>
  <sheetViews>
    <sheetView zoomScale="80" zoomScaleNormal="80" workbookViewId="0">
      <pane xSplit="1" ySplit="1" topLeftCell="V2" activePane="bottomRight" state="frozen"/>
      <selection pane="topRight"/>
      <selection pane="bottomLeft"/>
      <selection pane="bottomRight" activeCell="AF10" sqref="AF10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5.59765625" style="2" customWidth="1"/>
    <col min="15" max="15" width="15.59765625" style="1" customWidth="1"/>
    <col min="16" max="16" width="15.59765625" style="2" customWidth="1"/>
    <col min="17" max="17" width="15.59765625" style="1" customWidth="1"/>
    <col min="18" max="18" width="15.3984375" style="1" customWidth="1"/>
    <col min="19" max="19" width="13" style="1" customWidth="1"/>
    <col min="20" max="20" width="15.59765625" style="2" customWidth="1"/>
    <col min="21" max="21" width="15.59765625" style="1" customWidth="1"/>
    <col min="22" max="22" width="15.59765625" style="2" customWidth="1"/>
    <col min="23" max="23" width="15.59765625" style="1" customWidth="1"/>
    <col min="24" max="24" width="15.59765625" style="2" customWidth="1"/>
    <col min="25" max="25" width="15.59765625" style="1" customWidth="1"/>
    <col min="26" max="26" width="14.3984375" style="1" customWidth="1"/>
    <col min="27" max="27" width="15.19921875" style="1" customWidth="1"/>
    <col min="28" max="28" width="15.59765625" style="2" customWidth="1"/>
    <col min="29" max="29" width="15.59765625" style="1" customWidth="1"/>
    <col min="30" max="16384" width="9" style="1"/>
  </cols>
  <sheetData>
    <row r="1" spans="1:29" ht="14.25" customHeight="1">
      <c r="A1" s="3"/>
      <c r="B1" s="96" t="s">
        <v>100</v>
      </c>
      <c r="C1" s="96"/>
      <c r="D1" s="96" t="s">
        <v>101</v>
      </c>
      <c r="E1" s="96"/>
      <c r="F1" s="97" t="s">
        <v>113</v>
      </c>
      <c r="G1" s="97"/>
      <c r="H1" s="96" t="s">
        <v>114</v>
      </c>
      <c r="I1" s="96"/>
      <c r="J1" s="96" t="s">
        <v>118</v>
      </c>
      <c r="K1" s="96"/>
      <c r="L1" s="96" t="s">
        <v>125</v>
      </c>
      <c r="M1" s="96"/>
      <c r="N1" s="96" t="s">
        <v>129</v>
      </c>
      <c r="O1" s="96"/>
      <c r="P1" s="96" t="s">
        <v>130</v>
      </c>
      <c r="Q1" s="96"/>
      <c r="R1" s="96" t="s">
        <v>133</v>
      </c>
      <c r="S1" s="96"/>
      <c r="T1" s="96" t="s">
        <v>138</v>
      </c>
      <c r="U1" s="96"/>
      <c r="V1" s="96" t="s">
        <v>140</v>
      </c>
      <c r="W1" s="96"/>
      <c r="X1" s="96" t="s">
        <v>144</v>
      </c>
      <c r="Y1" s="96"/>
      <c r="Z1" s="96" t="s">
        <v>145</v>
      </c>
      <c r="AA1" s="96"/>
      <c r="AB1" s="98" t="s">
        <v>147</v>
      </c>
      <c r="AC1" s="98"/>
    </row>
    <row r="2" spans="1:2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</row>
    <row r="3" spans="1:2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</row>
    <row r="7" spans="1:2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">
        <v>0.01</v>
      </c>
      <c r="AA7" s="11">
        <v>0.01</v>
      </c>
      <c r="AB7" s="11">
        <v>0.01</v>
      </c>
      <c r="AC7" s="11">
        <v>0.01</v>
      </c>
    </row>
    <row r="8" spans="1:2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</row>
    <row r="9" spans="1:2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8" t="s">
        <v>22</v>
      </c>
      <c r="AC9" s="8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</row>
    <row r="11" spans="1:2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</row>
    <row r="13" spans="1:2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8">
        <v>64</v>
      </c>
      <c r="Y13" s="8">
        <v>64</v>
      </c>
      <c r="Z13" s="8">
        <v>64</v>
      </c>
      <c r="AA13" s="8">
        <v>64</v>
      </c>
      <c r="AB13" s="8">
        <v>64</v>
      </c>
      <c r="AC13" s="8">
        <v>64</v>
      </c>
    </row>
    <row r="14" spans="1:29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</row>
    <row r="17" spans="1:29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</row>
    <row r="18" spans="1:29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>X19+10*LOG10(X12/X14)-X20</f>
        <v>0</v>
      </c>
      <c r="Y18" s="8">
        <f>Y19+10*LOG10(Y12/Y14)-Y20</f>
        <v>-3</v>
      </c>
      <c r="Z18" s="8">
        <f t="shared" ref="Z18:AA18" si="4">Z19+10*LOG10(Z12/Z14)-Z20</f>
        <v>0</v>
      </c>
      <c r="AA18" s="8">
        <f t="shared" si="4"/>
        <v>-3</v>
      </c>
      <c r="AB18" s="8">
        <f>AB19+10*LOG10(AB12/AB14)-AB20</f>
        <v>0</v>
      </c>
      <c r="AC18" s="8">
        <f>AC19+10*LOG10(AC12/AC14)-AC20</f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</row>
    <row r="20" spans="1:29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</row>
    <row r="25" spans="1:29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68">
        <f t="shared" si="5"/>
        <v>22</v>
      </c>
      <c r="G25" s="68">
        <f t="shared" si="5"/>
        <v>19</v>
      </c>
      <c r="H25" s="8">
        <f>H17+H18+H21+H22-H24</f>
        <v>22</v>
      </c>
      <c r="I25" s="8">
        <f>I17+I18+I21+I22-I24</f>
        <v>19</v>
      </c>
      <c r="J25" s="8">
        <f t="shared" ref="J25:K25" si="6">J17+J18+J21+J22-J24</f>
        <v>22</v>
      </c>
      <c r="K25" s="8">
        <f t="shared" si="6"/>
        <v>19</v>
      </c>
      <c r="L25" s="8">
        <f t="shared" ref="L25:Q25" si="7">L17+L18+L21+L22-L24</f>
        <v>22</v>
      </c>
      <c r="M25" s="8">
        <f t="shared" si="7"/>
        <v>19</v>
      </c>
      <c r="N25" s="8">
        <f t="shared" si="7"/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ref="R25:W25" si="8">R17+R18+R21+R22-R24</f>
        <v>22</v>
      </c>
      <c r="S25" s="8">
        <f t="shared" si="8"/>
        <v>19</v>
      </c>
      <c r="T25" s="8">
        <f t="shared" si="8"/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8">
        <f>X17+X18+X21+X22-X24</f>
        <v>22</v>
      </c>
      <c r="Y25" s="8">
        <f>Y17+Y18+Y21+Y22-Y24</f>
        <v>19</v>
      </c>
      <c r="Z25" s="8">
        <f t="shared" ref="Z25:AA25" si="9">Z17+Z18+Z21+Z22-Z24</f>
        <v>22</v>
      </c>
      <c r="AA25" s="8">
        <f t="shared" si="9"/>
        <v>19</v>
      </c>
      <c r="AB25" s="8">
        <f>AB17+AB18+AB21+AB22-AB24</f>
        <v>22</v>
      </c>
      <c r="AC25" s="8">
        <f>AC17+AC18+AC21+AC22-AC24</f>
        <v>19</v>
      </c>
    </row>
    <row r="26" spans="1:2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</row>
    <row r="27" spans="1:2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8">
        <v>192</v>
      </c>
      <c r="Y28" s="8">
        <v>192</v>
      </c>
      <c r="Z28" s="8">
        <v>192</v>
      </c>
      <c r="AA28" s="8">
        <v>192</v>
      </c>
      <c r="AB28" s="8">
        <v>192</v>
      </c>
      <c r="AC28" s="8">
        <v>192</v>
      </c>
    </row>
    <row r="29" spans="1:29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3">
        <v>4</v>
      </c>
      <c r="S29" s="83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</row>
    <row r="30" spans="1:29" ht="41.4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12">
        <f t="shared" si="12"/>
        <v>12.771212547196624</v>
      </c>
      <c r="Q30" s="12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12">
        <f t="shared" si="13"/>
        <v>12.771212547196624</v>
      </c>
      <c r="W30" s="12">
        <f t="shared" si="13"/>
        <v>12.771212547196624</v>
      </c>
      <c r="X30" s="8">
        <f>X31+10*LOG10(X28/X13)-X32</f>
        <v>8.7712125471966242</v>
      </c>
      <c r="Y30" s="8">
        <f>Y31+10*LOG10(Y28/Y13)-Y32</f>
        <v>8.7712125471966242</v>
      </c>
      <c r="Z30" s="8">
        <f t="shared" ref="Z30:AA30" si="14">Z31+10*LOG10(Z28/Z13)-Z32</f>
        <v>12.771212547196624</v>
      </c>
      <c r="AA30" s="8">
        <f t="shared" si="14"/>
        <v>12.771212547196624</v>
      </c>
      <c r="AB30" s="8">
        <f>AB31+10*LOG10(AB28/AB13)-AB32</f>
        <v>9.7412125471966249</v>
      </c>
      <c r="AC30" s="8">
        <f>AC31+10*LOG10(AC28/AC13)-AC32</f>
        <v>9.7412125471966249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</row>
    <row r="32" spans="1:29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4</v>
      </c>
      <c r="Y32" s="82">
        <v>4</v>
      </c>
      <c r="Z32" s="82">
        <v>0</v>
      </c>
      <c r="AA32" s="82">
        <v>0</v>
      </c>
      <c r="AB32" s="83">
        <v>3.03</v>
      </c>
      <c r="AC32" s="83">
        <v>3.03</v>
      </c>
    </row>
    <row r="33" spans="1:29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  <c r="R33" s="52">
        <v>12</v>
      </c>
      <c r="S33" s="52">
        <v>12</v>
      </c>
      <c r="T33" s="16">
        <v>12</v>
      </c>
      <c r="U33" s="16">
        <v>12</v>
      </c>
      <c r="V33" s="16">
        <v>8</v>
      </c>
      <c r="W33" s="16">
        <v>8</v>
      </c>
      <c r="X33" s="16">
        <v>9</v>
      </c>
      <c r="Y33" s="16">
        <v>9</v>
      </c>
      <c r="Z33" s="16">
        <v>8</v>
      </c>
      <c r="AA33" s="16">
        <v>8</v>
      </c>
      <c r="AB33" s="16">
        <v>12</v>
      </c>
      <c r="AC33" s="16">
        <v>12</v>
      </c>
    </row>
    <row r="34" spans="1:29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</row>
    <row r="37" spans="1:29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  <c r="R37" s="82">
        <v>-161.69999999999999</v>
      </c>
      <c r="S37" s="82">
        <v>-161.69999999999999</v>
      </c>
      <c r="T37" s="82">
        <v>-165.7</v>
      </c>
      <c r="U37" s="82">
        <v>-165.7</v>
      </c>
      <c r="V37" s="82">
        <v>-999</v>
      </c>
      <c r="W37" s="82">
        <v>-999</v>
      </c>
      <c r="X37" s="82">
        <v>-999</v>
      </c>
      <c r="Y37" s="82">
        <v>-999</v>
      </c>
      <c r="Z37" s="82">
        <v>-999</v>
      </c>
      <c r="AA37" s="82">
        <v>-999</v>
      </c>
      <c r="AB37" s="82">
        <v>-999</v>
      </c>
      <c r="AC37" s="82">
        <v>-999</v>
      </c>
    </row>
    <row r="38" spans="1:29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12" t="s">
        <v>16</v>
      </c>
      <c r="W38" s="12" t="s">
        <v>16</v>
      </c>
      <c r="X38" s="8" t="s">
        <v>16</v>
      </c>
      <c r="Y38" s="8" t="s">
        <v>16</v>
      </c>
      <c r="Z38" s="8" t="s">
        <v>16</v>
      </c>
      <c r="AA38" s="8" t="s">
        <v>16</v>
      </c>
      <c r="AB38" s="8" t="s">
        <v>16</v>
      </c>
      <c r="AC38" s="8" t="s">
        <v>16</v>
      </c>
    </row>
    <row r="39" spans="1:29" ht="27.6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1">
        <f t="shared" si="15"/>
        <v>-169.00000000000003</v>
      </c>
      <c r="G39" s="71">
        <f t="shared" si="15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6">10*LOG10(10^((J35+J36)/10)+10^(J37/10))</f>
        <v>-160.9583889004532</v>
      </c>
      <c r="K39" s="12">
        <f t="shared" si="16"/>
        <v>-160.9583889004532</v>
      </c>
      <c r="L39" s="12">
        <f t="shared" ref="L39:Q39" si="17">10*LOG10(10^((L35+L36)/10)+10^(L37/10))</f>
        <v>-169.00000000000003</v>
      </c>
      <c r="M39" s="12">
        <f t="shared" si="17"/>
        <v>-169.00000000000003</v>
      </c>
      <c r="N39" s="8">
        <f t="shared" si="17"/>
        <v>-160.9583889004532</v>
      </c>
      <c r="O39" s="8">
        <f t="shared" si="17"/>
        <v>-160.9583889004532</v>
      </c>
      <c r="P39" s="12">
        <f t="shared" si="17"/>
        <v>-169.00000000000003</v>
      </c>
      <c r="Q39" s="12">
        <f t="shared" si="17"/>
        <v>-169.00000000000003</v>
      </c>
      <c r="R39" s="12">
        <f t="shared" ref="R39:W39" si="18">10*LOG10(10^((R35+R36)/10)+10^(R37/10))</f>
        <v>-160.9583889004532</v>
      </c>
      <c r="S39" s="12">
        <f t="shared" si="18"/>
        <v>-160.9583889004532</v>
      </c>
      <c r="T39" s="12">
        <f t="shared" si="18"/>
        <v>-164.03352307536667</v>
      </c>
      <c r="U39" s="12">
        <f t="shared" si="18"/>
        <v>-164.03352307536667</v>
      </c>
      <c r="V39" s="12">
        <f t="shared" si="18"/>
        <v>-169.00000000000003</v>
      </c>
      <c r="W39" s="12">
        <f t="shared" si="18"/>
        <v>-169.00000000000003</v>
      </c>
      <c r="X39" s="8">
        <f>10*LOG10(10^((X35+X36)/10)+10^(X37/10))</f>
        <v>-169.00000000000003</v>
      </c>
      <c r="Y39" s="8">
        <f>10*LOG10(10^((Y35+Y36)/10)+10^(Y37/10))</f>
        <v>-169.00000000000003</v>
      </c>
      <c r="Z39" s="8">
        <f t="shared" ref="Z39:AA39" si="19">10*LOG10(10^((Z35+Z36)/10)+10^(Z37/10))</f>
        <v>-169.00000000000003</v>
      </c>
      <c r="AA39" s="8">
        <f t="shared" si="19"/>
        <v>-169.00000000000003</v>
      </c>
      <c r="AB39" s="8">
        <f>10*LOG10(10^((AB35+AB36)/10)+10^(AB37/10))</f>
        <v>-169.00000000000003</v>
      </c>
      <c r="AC39" s="8">
        <f>10*LOG10(10^((AC35+AC36)/10)+10^(AC37/10))</f>
        <v>-169.00000000000003</v>
      </c>
    </row>
    <row r="40" spans="1:29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</row>
    <row r="41" spans="1:29">
      <c r="A41" s="20" t="s">
        <v>68</v>
      </c>
      <c r="B41" s="12">
        <f t="shared" ref="B41:G41" si="20">1*12*30*1000</f>
        <v>360000</v>
      </c>
      <c r="C41" s="12">
        <f t="shared" si="20"/>
        <v>360000</v>
      </c>
      <c r="D41" s="12">
        <f t="shared" si="20"/>
        <v>360000</v>
      </c>
      <c r="E41" s="12">
        <f t="shared" si="20"/>
        <v>360000</v>
      </c>
      <c r="F41" s="71">
        <f t="shared" si="20"/>
        <v>360000</v>
      </c>
      <c r="G41" s="71">
        <f t="shared" si="20"/>
        <v>360000</v>
      </c>
      <c r="H41" s="12">
        <f>1*12*30*1000</f>
        <v>360000</v>
      </c>
      <c r="I41" s="12">
        <f>1*12*30*1000</f>
        <v>360000</v>
      </c>
      <c r="J41" s="12">
        <f t="shared" ref="J41:K41" si="21">1*12*30*1000</f>
        <v>360000</v>
      </c>
      <c r="K41" s="12">
        <f t="shared" si="21"/>
        <v>360000</v>
      </c>
      <c r="L41" s="12">
        <f t="shared" ref="L41:Q41" si="22">1*12*30*1000</f>
        <v>360000</v>
      </c>
      <c r="M41" s="12">
        <f t="shared" si="22"/>
        <v>360000</v>
      </c>
      <c r="N41" s="8">
        <f t="shared" si="22"/>
        <v>360000</v>
      </c>
      <c r="O41" s="8">
        <f t="shared" si="22"/>
        <v>360000</v>
      </c>
      <c r="P41" s="12">
        <f t="shared" si="22"/>
        <v>360000</v>
      </c>
      <c r="Q41" s="12">
        <f t="shared" si="22"/>
        <v>360000</v>
      </c>
      <c r="R41" s="12">
        <f t="shared" ref="R41:W41" si="23">1*12*30*1000</f>
        <v>360000</v>
      </c>
      <c r="S41" s="12">
        <f t="shared" si="23"/>
        <v>360000</v>
      </c>
      <c r="T41" s="12">
        <f t="shared" si="23"/>
        <v>360000</v>
      </c>
      <c r="U41" s="12">
        <f t="shared" si="23"/>
        <v>360000</v>
      </c>
      <c r="V41" s="12">
        <f t="shared" si="23"/>
        <v>360000</v>
      </c>
      <c r="W41" s="12">
        <f t="shared" si="23"/>
        <v>360000</v>
      </c>
      <c r="X41" s="8">
        <f>1*12*30*1000</f>
        <v>360000</v>
      </c>
      <c r="Y41" s="8">
        <f>1*12*30*1000</f>
        <v>360000</v>
      </c>
      <c r="Z41" s="8">
        <f t="shared" ref="Z41:AA41" si="24">1*12*30*1000</f>
        <v>360000</v>
      </c>
      <c r="AA41" s="8">
        <f t="shared" si="24"/>
        <v>360000</v>
      </c>
      <c r="AB41" s="8">
        <f>1*12*30*1000</f>
        <v>360000</v>
      </c>
      <c r="AC41" s="8">
        <f>1*12*30*1000</f>
        <v>360000</v>
      </c>
    </row>
    <row r="42" spans="1:29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12" t="s">
        <v>16</v>
      </c>
      <c r="W42" s="12" t="s">
        <v>16</v>
      </c>
      <c r="X42" s="8" t="s">
        <v>16</v>
      </c>
      <c r="Y42" s="8" t="s">
        <v>16</v>
      </c>
      <c r="Z42" s="8" t="s">
        <v>16</v>
      </c>
      <c r="AA42" s="8" t="s">
        <v>16</v>
      </c>
      <c r="AB42" s="8" t="s">
        <v>16</v>
      </c>
      <c r="AC42" s="8" t="s">
        <v>16</v>
      </c>
    </row>
    <row r="43" spans="1:29">
      <c r="A43" s="7" t="s">
        <v>71</v>
      </c>
      <c r="B43" s="12">
        <f t="shared" ref="B43:G43" si="25">B39+10*LOG10(B41)</f>
        <v>-113.43697499232715</v>
      </c>
      <c r="C43" s="12">
        <f t="shared" si="25"/>
        <v>-113.43697499232715</v>
      </c>
      <c r="D43" s="12">
        <f t="shared" si="25"/>
        <v>-113.43697499232715</v>
      </c>
      <c r="E43" s="12">
        <f t="shared" si="25"/>
        <v>-113.43697499232715</v>
      </c>
      <c r="F43" s="71">
        <f t="shared" si="25"/>
        <v>-113.43697499232715</v>
      </c>
      <c r="G43" s="71">
        <f t="shared" si="2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6">J39+10*LOG10(J41)</f>
        <v>-105.39536389278032</v>
      </c>
      <c r="K43" s="12">
        <f t="shared" si="26"/>
        <v>-105.39536389278032</v>
      </c>
      <c r="L43" s="12">
        <f t="shared" ref="L43:Q43" si="27">L39+10*LOG10(L41)</f>
        <v>-113.43697499232715</v>
      </c>
      <c r="M43" s="12">
        <f t="shared" si="27"/>
        <v>-113.43697499232715</v>
      </c>
      <c r="N43" s="8">
        <f t="shared" si="27"/>
        <v>-105.39536389278032</v>
      </c>
      <c r="O43" s="8">
        <f t="shared" si="27"/>
        <v>-105.39536389278032</v>
      </c>
      <c r="P43" s="12">
        <f t="shared" si="27"/>
        <v>-113.43697499232715</v>
      </c>
      <c r="Q43" s="12">
        <f t="shared" si="27"/>
        <v>-113.43697499232715</v>
      </c>
      <c r="R43" s="12">
        <f t="shared" ref="R43:W43" si="28">R39+10*LOG10(R41)</f>
        <v>-105.39536389278032</v>
      </c>
      <c r="S43" s="12">
        <f t="shared" si="28"/>
        <v>-105.39536389278032</v>
      </c>
      <c r="T43" s="12">
        <f t="shared" si="28"/>
        <v>-108.4704980676938</v>
      </c>
      <c r="U43" s="12">
        <f t="shared" si="28"/>
        <v>-108.4704980676938</v>
      </c>
      <c r="V43" s="12">
        <f t="shared" si="28"/>
        <v>-113.43697499232715</v>
      </c>
      <c r="W43" s="12">
        <f t="shared" si="28"/>
        <v>-113.43697499232715</v>
      </c>
      <c r="X43" s="8">
        <f>X39+10*LOG10(X41)</f>
        <v>-113.43697499232715</v>
      </c>
      <c r="Y43" s="8">
        <f>Y39+10*LOG10(Y41)</f>
        <v>-113.43697499232715</v>
      </c>
      <c r="Z43" s="8">
        <f t="shared" ref="Z43:AA43" si="29">Z39+10*LOG10(Z41)</f>
        <v>-113.43697499232715</v>
      </c>
      <c r="AA43" s="8">
        <f t="shared" si="29"/>
        <v>-113.43697499232715</v>
      </c>
      <c r="AB43" s="8">
        <f>AB39+10*LOG10(AB41)</f>
        <v>-113.43697499232715</v>
      </c>
      <c r="AC43" s="8">
        <f>AC39+10*LOG10(AC41)</f>
        <v>-113.43697499232715</v>
      </c>
    </row>
    <row r="44" spans="1:2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</row>
    <row r="45" spans="1:29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  <c r="R45" s="16">
        <v>-9.1</v>
      </c>
      <c r="S45" s="16">
        <v>-9.1</v>
      </c>
      <c r="T45" s="16">
        <v>-10.34</v>
      </c>
      <c r="U45" s="16">
        <v>-10.34</v>
      </c>
      <c r="V45" s="16">
        <v>-7.2</v>
      </c>
      <c r="W45" s="16">
        <v>-7.2</v>
      </c>
      <c r="X45" s="16">
        <v>-6.6</v>
      </c>
      <c r="Y45" s="16">
        <v>-6.7</v>
      </c>
      <c r="Z45" s="16">
        <v>-9.4</v>
      </c>
      <c r="AA45" s="16">
        <v>-8.9</v>
      </c>
      <c r="AB45" s="52">
        <v>-9.85</v>
      </c>
      <c r="AC45" s="52">
        <v>-9.85</v>
      </c>
    </row>
    <row r="46" spans="1:29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12" t="s">
        <v>16</v>
      </c>
      <c r="W46" s="12" t="s">
        <v>16</v>
      </c>
      <c r="X46" s="8" t="s">
        <v>16</v>
      </c>
      <c r="Y46" s="8" t="s">
        <v>16</v>
      </c>
      <c r="Z46" s="8" t="s">
        <v>16</v>
      </c>
      <c r="AA46" s="8" t="s">
        <v>16</v>
      </c>
      <c r="AB46" s="8" t="s">
        <v>16</v>
      </c>
      <c r="AC46" s="8" t="s">
        <v>16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</row>
    <row r="48" spans="1:29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</row>
    <row r="49" spans="1:2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</row>
    <row r="50" spans="1:29" ht="27.6">
      <c r="A50" s="7" t="s">
        <v>80</v>
      </c>
      <c r="B50" s="12">
        <f t="shared" ref="B50:G50" si="30">B43+B45+B47-B48</f>
        <v>-118.83697499232716</v>
      </c>
      <c r="C50" s="12">
        <f t="shared" si="30"/>
        <v>-118.43697499232715</v>
      </c>
      <c r="D50" s="12">
        <f t="shared" si="30"/>
        <v>-121.77697499232715</v>
      </c>
      <c r="E50" s="12">
        <f t="shared" si="30"/>
        <v>-121.77697499232715</v>
      </c>
      <c r="F50" s="71">
        <f t="shared" si="30"/>
        <v>-115.26697499232715</v>
      </c>
      <c r="G50" s="71">
        <f t="shared" si="30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31">J43+J45+J47-J48</f>
        <v>-109.39536389278032</v>
      </c>
      <c r="K50" s="12">
        <f t="shared" si="31"/>
        <v>-109.39536389278032</v>
      </c>
      <c r="L50" s="12">
        <f t="shared" ref="L50:Q50" si="32">L43+L45+L47-L48</f>
        <v>-121.81697499232715</v>
      </c>
      <c r="M50" s="12">
        <f t="shared" si="32"/>
        <v>-121.81697499232715</v>
      </c>
      <c r="N50" s="8">
        <f t="shared" si="32"/>
        <v>-104.89536389278032</v>
      </c>
      <c r="O50" s="8">
        <f t="shared" si="32"/>
        <v>-104.89536389278032</v>
      </c>
      <c r="P50" s="12">
        <f t="shared" si="32"/>
        <v>-121.37697499232715</v>
      </c>
      <c r="Q50" s="12">
        <f t="shared" si="32"/>
        <v>-121.37697499232715</v>
      </c>
      <c r="R50" s="12">
        <f t="shared" ref="R50:W50" si="33">R43+R45+R47-R48</f>
        <v>-112.49536389278032</v>
      </c>
      <c r="S50" s="12">
        <f t="shared" si="33"/>
        <v>-112.49536389278032</v>
      </c>
      <c r="T50" s="12">
        <f t="shared" si="33"/>
        <v>-116.8104980676938</v>
      </c>
      <c r="U50" s="12">
        <f t="shared" si="33"/>
        <v>-116.8104980676938</v>
      </c>
      <c r="V50" s="12">
        <f t="shared" si="33"/>
        <v>-118.63697499232715</v>
      </c>
      <c r="W50" s="12">
        <f t="shared" si="33"/>
        <v>-118.63697499232715</v>
      </c>
      <c r="X50" s="8">
        <f>X43+X45+X47-X48</f>
        <v>-118.03697499232715</v>
      </c>
      <c r="Y50" s="8">
        <f>Y43+Y45+Y47-Y48</f>
        <v>-118.13697499232715</v>
      </c>
      <c r="Z50" s="8">
        <f t="shared" ref="Z50:AA50" si="34">Z43+Z45+Z47-Z48</f>
        <v>-120.83697499232716</v>
      </c>
      <c r="AA50" s="8">
        <f t="shared" si="34"/>
        <v>-120.33697499232716</v>
      </c>
      <c r="AB50" s="8">
        <f>AB43+AB45+AB47-AB48</f>
        <v>-121.28697499232715</v>
      </c>
      <c r="AC50" s="8">
        <f>AC43+AC45+AC47-AC48</f>
        <v>-121.28697499232715</v>
      </c>
    </row>
    <row r="51" spans="1:29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12" t="s">
        <v>16</v>
      </c>
      <c r="W51" s="12" t="s">
        <v>16</v>
      </c>
      <c r="X51" s="8" t="s">
        <v>16</v>
      </c>
      <c r="Y51" s="8" t="s">
        <v>16</v>
      </c>
      <c r="Z51" s="8" t="s">
        <v>16</v>
      </c>
      <c r="AA51" s="8" t="s">
        <v>16</v>
      </c>
      <c r="AB51" s="8" t="s">
        <v>16</v>
      </c>
      <c r="AC51" s="8" t="s">
        <v>16</v>
      </c>
    </row>
    <row r="52" spans="1:29" ht="27.6">
      <c r="A52" s="21" t="s">
        <v>83</v>
      </c>
      <c r="B52" s="22">
        <f t="shared" ref="B52:G52" si="35">B25+B30+B33-B34-B50</f>
        <v>158.60818753952378</v>
      </c>
      <c r="C52" s="22">
        <f t="shared" si="35"/>
        <v>155.20818753952378</v>
      </c>
      <c r="D52" s="22">
        <f t="shared" si="35"/>
        <v>162.63818753952378</v>
      </c>
      <c r="E52" s="22">
        <f t="shared" si="35"/>
        <v>159.63818753952378</v>
      </c>
      <c r="F52" s="76">
        <f t="shared" si="35"/>
        <v>155.03818753952379</v>
      </c>
      <c r="G52" s="76">
        <f t="shared" si="35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36">J25+J30+J33-J34-J50</f>
        <v>156.21807622317601</v>
      </c>
      <c r="K52" s="22">
        <f t="shared" si="36"/>
        <v>153.21807622317601</v>
      </c>
      <c r="L52" s="22">
        <f t="shared" ref="L52:Q52" si="37">L25+L30+L33-L34-L50</f>
        <v>161.58818753952377</v>
      </c>
      <c r="M52" s="22">
        <f t="shared" si="37"/>
        <v>158.58818753952377</v>
      </c>
      <c r="N52" s="22">
        <f t="shared" si="37"/>
        <v>151.71657643997696</v>
      </c>
      <c r="O52" s="22">
        <f t="shared" si="37"/>
        <v>148.71657643997696</v>
      </c>
      <c r="P52" s="22">
        <f t="shared" si="37"/>
        <v>161.14818753952378</v>
      </c>
      <c r="Q52" s="22">
        <f t="shared" si="37"/>
        <v>158.14818753952378</v>
      </c>
      <c r="R52" s="22">
        <f t="shared" ref="R52:W52" si="38">R25+R30+R33-R34-R50</f>
        <v>156.26657643997694</v>
      </c>
      <c r="S52" s="22">
        <f t="shared" si="38"/>
        <v>153.26657643997694</v>
      </c>
      <c r="T52" s="22">
        <f t="shared" si="38"/>
        <v>160.58171061489043</v>
      </c>
      <c r="U52" s="22">
        <f t="shared" si="38"/>
        <v>157.58171061489043</v>
      </c>
      <c r="V52" s="22">
        <f t="shared" si="38"/>
        <v>158.40818753952379</v>
      </c>
      <c r="W52" s="22">
        <f t="shared" si="38"/>
        <v>155.40818753952379</v>
      </c>
      <c r="X52" s="22">
        <f>X25+X30+X33-X34-X50</f>
        <v>154.80818753952377</v>
      </c>
      <c r="Y52" s="22">
        <f>Y25+Y30+Y33-Y34-Y50</f>
        <v>151.90818753952379</v>
      </c>
      <c r="Z52" s="22">
        <f t="shared" ref="Z52:AA52" si="39">Z25+Z30+Z33-Z34-Z50</f>
        <v>160.60818753952378</v>
      </c>
      <c r="AA52" s="22">
        <f t="shared" si="39"/>
        <v>157.10818753952378</v>
      </c>
      <c r="AB52" s="22">
        <f>AB25+AB30+AB33-AB34-AB50</f>
        <v>162.02818753952377</v>
      </c>
      <c r="AC52" s="22">
        <f>AC25+AC30+AC33-AC34-AC50</f>
        <v>159.02818753952377</v>
      </c>
    </row>
    <row r="53" spans="1:29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24" t="s">
        <v>16</v>
      </c>
      <c r="W53" s="24" t="s">
        <v>16</v>
      </c>
      <c r="X53" s="85" t="s">
        <v>16</v>
      </c>
      <c r="Y53" s="85" t="s">
        <v>16</v>
      </c>
      <c r="Z53" s="85" t="s">
        <v>16</v>
      </c>
      <c r="AA53" s="85" t="s">
        <v>16</v>
      </c>
      <c r="AB53" s="85" t="s">
        <v>16</v>
      </c>
      <c r="AC53" s="85" t="s">
        <v>16</v>
      </c>
    </row>
    <row r="54" spans="1:2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</row>
    <row r="56" spans="1:29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  <c r="X56" s="82">
        <v>7.56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</row>
    <row r="57" spans="1:29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25" t="s">
        <v>16</v>
      </c>
      <c r="W57" s="25" t="s">
        <v>16</v>
      </c>
      <c r="X57" s="9" t="s">
        <v>16</v>
      </c>
      <c r="Y57" s="9" t="s">
        <v>16</v>
      </c>
      <c r="Z57" s="9" t="s">
        <v>16</v>
      </c>
      <c r="AA57" s="9" t="s">
        <v>16</v>
      </c>
      <c r="AB57" s="9" t="s">
        <v>16</v>
      </c>
      <c r="AC57" s="9" t="s">
        <v>16</v>
      </c>
    </row>
    <row r="58" spans="1:2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</row>
    <row r="59" spans="1:2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23.25</v>
      </c>
      <c r="U59" s="82">
        <v>23.25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</row>
    <row r="60" spans="1:2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</row>
    <row r="61" spans="1:29" ht="27.6">
      <c r="A61" s="21" t="s">
        <v>108</v>
      </c>
      <c r="B61" s="22">
        <f t="shared" ref="B61:G61" si="40">B52-B56+B58-B59+B60</f>
        <v>124.79818753952378</v>
      </c>
      <c r="C61" s="22">
        <f t="shared" si="40"/>
        <v>121.39818753952378</v>
      </c>
      <c r="D61" s="22">
        <f t="shared" si="40"/>
        <v>128.82818753952378</v>
      </c>
      <c r="E61" s="22">
        <f t="shared" si="40"/>
        <v>125.82818753952378</v>
      </c>
      <c r="F61" s="76">
        <f t="shared" si="40"/>
        <v>121.22818753952379</v>
      </c>
      <c r="G61" s="76">
        <f t="shared" si="40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41">J52-J56+J58-J59+J60</f>
        <v>122.40807622317601</v>
      </c>
      <c r="K61" s="22">
        <f t="shared" si="41"/>
        <v>119.40807622317601</v>
      </c>
      <c r="L61" s="22">
        <f t="shared" ref="L61:Q61" si="42">L52-L56+L58-L59+L60</f>
        <v>127.77818753952377</v>
      </c>
      <c r="M61" s="22">
        <f t="shared" si="42"/>
        <v>124.77818753952377</v>
      </c>
      <c r="N61" s="22">
        <f t="shared" si="42"/>
        <v>117.88657643997695</v>
      </c>
      <c r="O61" s="22">
        <f t="shared" si="42"/>
        <v>114.88657643997695</v>
      </c>
      <c r="P61" s="22">
        <f t="shared" si="42"/>
        <v>127.33818753952377</v>
      </c>
      <c r="Q61" s="22">
        <f t="shared" si="42"/>
        <v>124.33818753952377</v>
      </c>
      <c r="R61" s="22">
        <f t="shared" ref="R61:W61" si="43">R52-R56+R58-R59+R60</f>
        <v>122.45657643997694</v>
      </c>
      <c r="S61" s="22">
        <f t="shared" si="43"/>
        <v>119.45657643997694</v>
      </c>
      <c r="T61" s="22">
        <f t="shared" si="43"/>
        <v>129.77171061489042</v>
      </c>
      <c r="U61" s="22">
        <f t="shared" si="43"/>
        <v>126.77171061489042</v>
      </c>
      <c r="V61" s="22">
        <f t="shared" si="43"/>
        <v>124.59818753952379</v>
      </c>
      <c r="W61" s="22">
        <f t="shared" si="43"/>
        <v>121.59818753952379</v>
      </c>
      <c r="X61" s="22">
        <f>X52-X56+X58-X59+X60</f>
        <v>120.99818753952377</v>
      </c>
      <c r="Y61" s="22">
        <f>Y52-Y56+Y58-Y59+Y60</f>
        <v>118.09818753952379</v>
      </c>
      <c r="Z61" s="22">
        <f t="shared" ref="Z61:AA61" si="44">Z52-Z56+Z58-Z59+Z60</f>
        <v>126.79818753952378</v>
      </c>
      <c r="AA61" s="22">
        <f t="shared" si="44"/>
        <v>123.29818753952378</v>
      </c>
      <c r="AB61" s="22">
        <f>AB52-AB56+AB58-AB59+AB60</f>
        <v>128.21818753952377</v>
      </c>
      <c r="AC61" s="22">
        <f>AC52-AC56+AC58-AC59+AC60</f>
        <v>125.21818753952377</v>
      </c>
    </row>
    <row r="62" spans="1:29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24" t="s">
        <v>16</v>
      </c>
      <c r="W62" s="24" t="s">
        <v>16</v>
      </c>
      <c r="X62" s="85" t="s">
        <v>16</v>
      </c>
      <c r="Y62" s="85" t="s">
        <v>16</v>
      </c>
      <c r="Z62" s="85" t="s">
        <v>16</v>
      </c>
      <c r="AA62" s="85" t="s">
        <v>16</v>
      </c>
      <c r="AB62" s="85" t="s">
        <v>16</v>
      </c>
      <c r="AC62" s="85" t="s">
        <v>16</v>
      </c>
    </row>
    <row r="63" spans="1:29">
      <c r="C63" s="2"/>
      <c r="E63" s="2"/>
      <c r="G63" s="79"/>
      <c r="I63" s="79"/>
      <c r="J63" s="2"/>
      <c r="K63" s="2"/>
      <c r="L63" s="2"/>
      <c r="M63" s="2"/>
      <c r="O63" s="2"/>
      <c r="Q63" s="2"/>
      <c r="R63" s="2"/>
      <c r="S63" s="2"/>
      <c r="U63" s="2"/>
      <c r="W63" s="2"/>
      <c r="Y63" s="2"/>
      <c r="Z63" s="2"/>
      <c r="AA63" s="2"/>
      <c r="AC63" s="2"/>
    </row>
    <row r="64" spans="1:29">
      <c r="A64" s="21" t="s">
        <v>97</v>
      </c>
      <c r="B64" s="22">
        <f t="shared" ref="B64:G64" si="45">B17+B22-B50+B21+B33</f>
        <v>149.83697499232716</v>
      </c>
      <c r="C64" s="22">
        <f t="shared" si="45"/>
        <v>149.43697499232715</v>
      </c>
      <c r="D64" s="22">
        <f t="shared" si="45"/>
        <v>156.81697499232715</v>
      </c>
      <c r="E64" s="22">
        <f t="shared" si="45"/>
        <v>156.81697499232715</v>
      </c>
      <c r="F64" s="76">
        <f t="shared" si="45"/>
        <v>146.26697499232716</v>
      </c>
      <c r="G64" s="76">
        <f t="shared" si="45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46">J17+J22-J50+J21+J33</f>
        <v>147.44686367597939</v>
      </c>
      <c r="K64" s="22">
        <f t="shared" si="46"/>
        <v>147.44686367597939</v>
      </c>
      <c r="L64" s="22">
        <f t="shared" ref="L64:Q64" si="47">L17+L22-L50+L21+L33</f>
        <v>152.81697499232715</v>
      </c>
      <c r="M64" s="22">
        <f t="shared" si="47"/>
        <v>152.81697499232715</v>
      </c>
      <c r="N64" s="22">
        <f t="shared" si="47"/>
        <v>142.94536389278034</v>
      </c>
      <c r="O64" s="22">
        <f t="shared" si="47"/>
        <v>142.94536389278034</v>
      </c>
      <c r="P64" s="22">
        <f t="shared" si="47"/>
        <v>152.37697499232715</v>
      </c>
      <c r="Q64" s="22">
        <f t="shared" si="47"/>
        <v>152.37697499232715</v>
      </c>
      <c r="R64" s="22">
        <f t="shared" ref="R64:W64" si="48">R17+R22-R50+R21+R33</f>
        <v>147.49536389278032</v>
      </c>
      <c r="S64" s="22">
        <f t="shared" si="48"/>
        <v>147.49536389278032</v>
      </c>
      <c r="T64" s="22">
        <f t="shared" si="48"/>
        <v>151.8104980676938</v>
      </c>
      <c r="U64" s="22">
        <f t="shared" si="48"/>
        <v>151.8104980676938</v>
      </c>
      <c r="V64" s="22">
        <f t="shared" si="48"/>
        <v>149.63697499232717</v>
      </c>
      <c r="W64" s="22">
        <f t="shared" si="48"/>
        <v>149.63697499232717</v>
      </c>
      <c r="X64" s="22">
        <f>X17+X22-X50+X21+X33</f>
        <v>150.03697499232715</v>
      </c>
      <c r="Y64" s="22">
        <f>Y17+Y22-Y50+Y21+Y33</f>
        <v>150.13697499232717</v>
      </c>
      <c r="Z64" s="22">
        <f t="shared" ref="Z64:AA64" si="49">Z17+Z22-Z50+Z21+Z33</f>
        <v>151.83697499232716</v>
      </c>
      <c r="AA64" s="22">
        <f t="shared" si="49"/>
        <v>151.33697499232716</v>
      </c>
      <c r="AB64" s="22">
        <f>AB17+AB22-AB50+AB21+AB33</f>
        <v>156.28697499232715</v>
      </c>
      <c r="AC64" s="22">
        <f>AC17+AC22-AC50+AC21+AC33</f>
        <v>156.28697499232715</v>
      </c>
    </row>
    <row r="65" spans="1:29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24" t="s">
        <v>16</v>
      </c>
      <c r="W65" s="24" t="s">
        <v>16</v>
      </c>
      <c r="X65" s="85" t="s">
        <v>16</v>
      </c>
      <c r="Y65" s="85" t="s">
        <v>16</v>
      </c>
      <c r="Z65" s="85" t="s">
        <v>16</v>
      </c>
      <c r="AA65" s="85" t="s">
        <v>16</v>
      </c>
      <c r="AB65" s="85" t="s">
        <v>16</v>
      </c>
      <c r="AC65" s="85" t="s">
        <v>16</v>
      </c>
    </row>
  </sheetData>
  <mergeCells count="14"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65"/>
  <sheetViews>
    <sheetView zoomScale="110" zoomScaleNormal="110" workbookViewId="0">
      <pane xSplit="1" ySplit="1" topLeftCell="N59" activePane="bottomRight" state="frozen"/>
      <selection pane="topRight"/>
      <selection pane="bottomLeft"/>
      <selection pane="bottomRight" activeCell="V1" sqref="V1:W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5.59765625" style="2" customWidth="1"/>
    <col min="15" max="15" width="15.59765625" style="1" customWidth="1"/>
    <col min="16" max="16" width="14.3984375" style="1" customWidth="1"/>
    <col min="17" max="17" width="15.3984375" style="1" customWidth="1"/>
    <col min="18" max="18" width="15.59765625" style="2" customWidth="1"/>
    <col min="19" max="19" width="15.59765625" style="1" customWidth="1"/>
    <col min="20" max="20" width="15.59765625" style="2" customWidth="1"/>
    <col min="21" max="21" width="15.59765625" style="1" customWidth="1"/>
    <col min="22" max="22" width="15.59765625" style="90" customWidth="1"/>
    <col min="23" max="23" width="15.59765625" style="1" customWidth="1"/>
    <col min="24" max="16384" width="9" style="1"/>
  </cols>
  <sheetData>
    <row r="1" spans="1:23" ht="14.25" customHeight="1">
      <c r="A1" s="3"/>
      <c r="B1" s="96" t="s">
        <v>100</v>
      </c>
      <c r="C1" s="96"/>
      <c r="D1" s="96" t="s">
        <v>101</v>
      </c>
      <c r="E1" s="96"/>
      <c r="F1" s="97" t="s">
        <v>113</v>
      </c>
      <c r="G1" s="97"/>
      <c r="H1" s="96" t="s">
        <v>114</v>
      </c>
      <c r="I1" s="96"/>
      <c r="J1" s="96" t="s">
        <v>119</v>
      </c>
      <c r="K1" s="96"/>
      <c r="L1" s="96" t="s">
        <v>125</v>
      </c>
      <c r="M1" s="96"/>
      <c r="N1" s="96" t="s">
        <v>130</v>
      </c>
      <c r="O1" s="96"/>
      <c r="P1" s="96" t="s">
        <v>134</v>
      </c>
      <c r="Q1" s="96"/>
      <c r="R1" s="96" t="s">
        <v>140</v>
      </c>
      <c r="S1" s="96"/>
      <c r="T1" s="96" t="s">
        <v>144</v>
      </c>
      <c r="U1" s="96"/>
      <c r="V1" s="98" t="s">
        <v>147</v>
      </c>
      <c r="W1" s="98"/>
    </row>
    <row r="2" spans="1:2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87" t="s">
        <v>102</v>
      </c>
      <c r="W2" s="86" t="s">
        <v>110</v>
      </c>
    </row>
    <row r="3" spans="1:2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45">
        <v>2.6</v>
      </c>
      <c r="W3" s="45">
        <v>2.6</v>
      </c>
    </row>
    <row r="4" spans="1:2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45">
        <v>100</v>
      </c>
      <c r="W4" s="45">
        <v>100</v>
      </c>
    </row>
    <row r="5" spans="1:2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88" t="s">
        <v>16</v>
      </c>
      <c r="W5" s="88" t="s">
        <v>16</v>
      </c>
    </row>
    <row r="6" spans="1:2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88" t="s">
        <v>16</v>
      </c>
      <c r="W6" s="88" t="s">
        <v>16</v>
      </c>
    </row>
    <row r="7" spans="1:2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50">
        <v>0.01</v>
      </c>
      <c r="W7" s="50">
        <v>0.01</v>
      </c>
    </row>
    <row r="8" spans="1:2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88" t="s">
        <v>16</v>
      </c>
      <c r="W8" s="88" t="s">
        <v>16</v>
      </c>
    </row>
    <row r="9" spans="1:2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45" t="s">
        <v>22</v>
      </c>
      <c r="W9" s="45" t="s">
        <v>22</v>
      </c>
    </row>
    <row r="10" spans="1:2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45">
        <v>3</v>
      </c>
      <c r="W10" s="45">
        <v>3</v>
      </c>
    </row>
    <row r="11" spans="1:2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51"/>
      <c r="W11" s="51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45">
        <v>1</v>
      </c>
      <c r="W12" s="45">
        <v>1</v>
      </c>
    </row>
    <row r="13" spans="1:2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45">
        <v>64</v>
      </c>
      <c r="W13" s="45">
        <v>64</v>
      </c>
    </row>
    <row r="14" spans="1:23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  <c r="V14" s="45">
        <v>1</v>
      </c>
      <c r="W14" s="45">
        <v>1</v>
      </c>
    </row>
    <row r="15" spans="1:2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  <c r="V15" s="45" t="s">
        <v>16</v>
      </c>
      <c r="W15" s="45" t="s">
        <v>16</v>
      </c>
    </row>
    <row r="16" spans="1:2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45">
        <v>23</v>
      </c>
      <c r="W16" s="45">
        <v>23</v>
      </c>
    </row>
    <row r="17" spans="1:2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45">
        <v>23</v>
      </c>
      <c r="W17" s="45">
        <v>23</v>
      </c>
    </row>
    <row r="18" spans="1:23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12">
        <f t="shared" si="2"/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8">
        <f t="shared" si="3"/>
        <v>0</v>
      </c>
      <c r="U18" s="8">
        <f t="shared" si="3"/>
        <v>-3</v>
      </c>
      <c r="V18" s="45">
        <f t="shared" si="3"/>
        <v>0</v>
      </c>
      <c r="W18" s="45">
        <f t="shared" si="3"/>
        <v>-3</v>
      </c>
    </row>
    <row r="19" spans="1:2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45">
        <v>0</v>
      </c>
      <c r="W19" s="45">
        <v>-3</v>
      </c>
    </row>
    <row r="20" spans="1:23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  <c r="V20" s="45">
        <v>0</v>
      </c>
      <c r="W20" s="45">
        <v>0</v>
      </c>
    </row>
    <row r="21" spans="1:2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  <c r="V21" s="45">
        <v>0</v>
      </c>
      <c r="W21" s="45">
        <v>0</v>
      </c>
    </row>
    <row r="22" spans="1:2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45">
        <v>0</v>
      </c>
      <c r="W22" s="45">
        <v>0</v>
      </c>
    </row>
    <row r="23" spans="1:2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45">
        <v>0</v>
      </c>
      <c r="W23" s="45">
        <v>0</v>
      </c>
    </row>
    <row r="24" spans="1:2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45">
        <v>1</v>
      </c>
      <c r="W24" s="45">
        <v>1</v>
      </c>
    </row>
    <row r="25" spans="1:23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68">
        <f t="shared" si="4"/>
        <v>22</v>
      </c>
      <c r="G25" s="68">
        <f t="shared" si="4"/>
        <v>19</v>
      </c>
      <c r="H25" s="8">
        <f>H17+H18+H21+H22-H24</f>
        <v>22</v>
      </c>
      <c r="I25" s="8">
        <f>I17+I18+I21+I22-I24</f>
        <v>19</v>
      </c>
      <c r="J25" s="8">
        <f t="shared" ref="J25:K25" si="5">J17+J18+J21+J22-J24</f>
        <v>22</v>
      </c>
      <c r="K25" s="8">
        <f t="shared" si="5"/>
        <v>19</v>
      </c>
      <c r="L25" s="8">
        <f t="shared" ref="L25:Q25" si="6">L17+L18+L21+L22-L24</f>
        <v>22</v>
      </c>
      <c r="M25" s="8">
        <f t="shared" si="6"/>
        <v>19</v>
      </c>
      <c r="N25" s="8">
        <f t="shared" si="6"/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ref="R25:W25" si="7">R17+R18+R21+R22-R24</f>
        <v>22</v>
      </c>
      <c r="S25" s="8">
        <f t="shared" si="7"/>
        <v>19</v>
      </c>
      <c r="T25" s="8">
        <f t="shared" si="7"/>
        <v>22</v>
      </c>
      <c r="U25" s="8">
        <f t="shared" si="7"/>
        <v>19</v>
      </c>
      <c r="V25" s="45">
        <f t="shared" si="7"/>
        <v>22</v>
      </c>
      <c r="W25" s="45">
        <f t="shared" si="7"/>
        <v>19</v>
      </c>
    </row>
    <row r="26" spans="1:2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88" t="s">
        <v>16</v>
      </c>
      <c r="W26" s="88" t="s">
        <v>16</v>
      </c>
    </row>
    <row r="27" spans="1:2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51"/>
      <c r="W27" s="51"/>
    </row>
    <row r="28" spans="1:23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  <c r="P28" s="12">
        <v>192</v>
      </c>
      <c r="Q28" s="12">
        <v>192</v>
      </c>
      <c r="R28" s="12">
        <v>192</v>
      </c>
      <c r="S28" s="12">
        <v>192</v>
      </c>
      <c r="T28" s="8">
        <v>192</v>
      </c>
      <c r="U28" s="8">
        <v>192</v>
      </c>
      <c r="V28" s="45">
        <v>192</v>
      </c>
      <c r="W28" s="45">
        <v>192</v>
      </c>
    </row>
    <row r="29" spans="1:23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  <c r="V29" s="83">
        <v>4</v>
      </c>
      <c r="W29" s="83">
        <v>4</v>
      </c>
    </row>
    <row r="30" spans="1:23" ht="41.4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12">
        <f t="shared" si="10"/>
        <v>12.771212547196624</v>
      </c>
      <c r="O30" s="12">
        <f t="shared" si="10"/>
        <v>12.771212547196624</v>
      </c>
      <c r="P30" s="12">
        <f t="shared" si="10"/>
        <v>12.771212547196624</v>
      </c>
      <c r="Q30" s="12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8">
        <f t="shared" si="11"/>
        <v>8.7712125471966242</v>
      </c>
      <c r="U30" s="8">
        <f t="shared" si="11"/>
        <v>8.7712125471966242</v>
      </c>
      <c r="V30" s="45">
        <f t="shared" si="11"/>
        <v>9.7412125471966249</v>
      </c>
      <c r="W30" s="45">
        <f t="shared" si="11"/>
        <v>9.7412125471966249</v>
      </c>
    </row>
    <row r="31" spans="1:2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45">
        <v>8</v>
      </c>
      <c r="W31" s="45">
        <v>8</v>
      </c>
    </row>
    <row r="32" spans="1:23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4</v>
      </c>
      <c r="U32" s="82">
        <v>4</v>
      </c>
      <c r="V32" s="83">
        <v>3.03</v>
      </c>
      <c r="W32" s="83">
        <v>3.03</v>
      </c>
    </row>
    <row r="33" spans="1:23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12</v>
      </c>
      <c r="Q33" s="16">
        <v>12</v>
      </c>
      <c r="R33" s="16">
        <v>8</v>
      </c>
      <c r="S33" s="16">
        <v>8</v>
      </c>
      <c r="T33" s="16">
        <v>9</v>
      </c>
      <c r="U33" s="16">
        <v>9</v>
      </c>
      <c r="V33" s="52">
        <v>12</v>
      </c>
      <c r="W33" s="52">
        <v>12</v>
      </c>
    </row>
    <row r="34" spans="1:2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45">
        <v>3</v>
      </c>
      <c r="W34" s="45">
        <v>3</v>
      </c>
    </row>
    <row r="35" spans="1:2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45">
        <v>5</v>
      </c>
      <c r="W35" s="45">
        <v>5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45">
        <v>-174</v>
      </c>
      <c r="W36" s="45">
        <v>-174</v>
      </c>
    </row>
    <row r="37" spans="1:23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  <c r="P37" s="82">
        <v>-161.69999999999999</v>
      </c>
      <c r="Q37" s="82">
        <v>-161.69999999999999</v>
      </c>
      <c r="R37" s="82">
        <v>-999</v>
      </c>
      <c r="S37" s="82">
        <v>-999</v>
      </c>
      <c r="T37" s="82">
        <v>-999</v>
      </c>
      <c r="U37" s="82">
        <v>-999</v>
      </c>
      <c r="V37" s="83">
        <v>-999</v>
      </c>
      <c r="W37" s="83">
        <v>-999</v>
      </c>
    </row>
    <row r="38" spans="1:23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45" t="s">
        <v>16</v>
      </c>
      <c r="W38" s="45" t="s">
        <v>16</v>
      </c>
    </row>
    <row r="39" spans="1:23" ht="27.6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1">
        <f t="shared" si="12"/>
        <v>-169.00000000000003</v>
      </c>
      <c r="G39" s="71">
        <f t="shared" si="12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3">10*LOG10(10^((J35+J36)/10)+10^(J37/10))</f>
        <v>-160.9583889004532</v>
      </c>
      <c r="K39" s="12">
        <f t="shared" si="13"/>
        <v>-160.9583889004532</v>
      </c>
      <c r="L39" s="12">
        <f t="shared" ref="L39:Q39" si="14">10*LOG10(10^((L35+L36)/10)+10^(L37/10))</f>
        <v>-169.00000000000003</v>
      </c>
      <c r="M39" s="12">
        <f t="shared" si="14"/>
        <v>-169.00000000000003</v>
      </c>
      <c r="N39" s="12">
        <f t="shared" si="14"/>
        <v>-169.00000000000003</v>
      </c>
      <c r="O39" s="12">
        <f t="shared" si="14"/>
        <v>-169.00000000000003</v>
      </c>
      <c r="P39" s="12">
        <f t="shared" si="14"/>
        <v>-160.9583889004532</v>
      </c>
      <c r="Q39" s="12">
        <f t="shared" si="14"/>
        <v>-160.9583889004532</v>
      </c>
      <c r="R39" s="12">
        <f t="shared" ref="R39:W39" si="15">10*LOG10(10^((R35+R36)/10)+10^(R37/10))</f>
        <v>-169.00000000000003</v>
      </c>
      <c r="S39" s="12">
        <f t="shared" si="15"/>
        <v>-169.00000000000003</v>
      </c>
      <c r="T39" s="8">
        <f t="shared" si="15"/>
        <v>-169.00000000000003</v>
      </c>
      <c r="U39" s="8">
        <f t="shared" si="15"/>
        <v>-169.00000000000003</v>
      </c>
      <c r="V39" s="45">
        <f t="shared" si="15"/>
        <v>-169.00000000000003</v>
      </c>
      <c r="W39" s="45">
        <f t="shared" si="15"/>
        <v>-169.00000000000003</v>
      </c>
    </row>
    <row r="40" spans="1:23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88" t="s">
        <v>16</v>
      </c>
      <c r="W40" s="88" t="s">
        <v>16</v>
      </c>
    </row>
    <row r="41" spans="1:23">
      <c r="A41" s="20" t="s">
        <v>68</v>
      </c>
      <c r="B41" s="12">
        <f t="shared" ref="B41:G41" si="16">1*12*30*1000</f>
        <v>360000</v>
      </c>
      <c r="C41" s="12">
        <f t="shared" si="16"/>
        <v>360000</v>
      </c>
      <c r="D41" s="12">
        <f t="shared" si="16"/>
        <v>360000</v>
      </c>
      <c r="E41" s="12">
        <f t="shared" si="16"/>
        <v>360000</v>
      </c>
      <c r="F41" s="71">
        <f t="shared" si="16"/>
        <v>360000</v>
      </c>
      <c r="G41" s="71">
        <f t="shared" si="16"/>
        <v>360000</v>
      </c>
      <c r="H41" s="12">
        <f>1*12*30*1000</f>
        <v>360000</v>
      </c>
      <c r="I41" s="12">
        <f>1*12*30*1000</f>
        <v>360000</v>
      </c>
      <c r="J41" s="12">
        <f t="shared" ref="J41:K41" si="17">1*12*30*1000</f>
        <v>360000</v>
      </c>
      <c r="K41" s="12">
        <f t="shared" si="17"/>
        <v>360000</v>
      </c>
      <c r="L41" s="12">
        <f t="shared" ref="L41:Q41" si="18">1*12*30*1000</f>
        <v>360000</v>
      </c>
      <c r="M41" s="12">
        <f t="shared" si="18"/>
        <v>360000</v>
      </c>
      <c r="N41" s="12">
        <f t="shared" si="18"/>
        <v>360000</v>
      </c>
      <c r="O41" s="12">
        <f t="shared" si="18"/>
        <v>360000</v>
      </c>
      <c r="P41" s="12">
        <f t="shared" si="18"/>
        <v>360000</v>
      </c>
      <c r="Q41" s="12">
        <f t="shared" si="18"/>
        <v>360000</v>
      </c>
      <c r="R41" s="12">
        <f t="shared" ref="R41:W41" si="19">1*12*30*1000</f>
        <v>360000</v>
      </c>
      <c r="S41" s="12">
        <f t="shared" si="19"/>
        <v>360000</v>
      </c>
      <c r="T41" s="8">
        <f t="shared" si="19"/>
        <v>360000</v>
      </c>
      <c r="U41" s="8">
        <f t="shared" si="19"/>
        <v>360000</v>
      </c>
      <c r="V41" s="45">
        <f t="shared" si="19"/>
        <v>360000</v>
      </c>
      <c r="W41" s="45">
        <f t="shared" si="19"/>
        <v>360000</v>
      </c>
    </row>
    <row r="42" spans="1:23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45" t="s">
        <v>16</v>
      </c>
      <c r="W42" s="45" t="s">
        <v>16</v>
      </c>
    </row>
    <row r="43" spans="1:23">
      <c r="A43" s="7" t="s">
        <v>71</v>
      </c>
      <c r="B43" s="12">
        <f t="shared" ref="B43:G43" si="20">B39+10*LOG10(B41)</f>
        <v>-113.43697499232715</v>
      </c>
      <c r="C43" s="12">
        <f t="shared" si="20"/>
        <v>-113.43697499232715</v>
      </c>
      <c r="D43" s="12">
        <f t="shared" si="20"/>
        <v>-113.43697499232715</v>
      </c>
      <c r="E43" s="12">
        <f t="shared" si="20"/>
        <v>-113.43697499232715</v>
      </c>
      <c r="F43" s="71">
        <f t="shared" si="20"/>
        <v>-113.43697499232715</v>
      </c>
      <c r="G43" s="71">
        <f t="shared" si="2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1">J39+10*LOG10(J41)</f>
        <v>-105.39536389278032</v>
      </c>
      <c r="K43" s="12">
        <f t="shared" si="21"/>
        <v>-105.39536389278032</v>
      </c>
      <c r="L43" s="12">
        <f t="shared" ref="L43:Q43" si="22">L39+10*LOG10(L41)</f>
        <v>-113.43697499232715</v>
      </c>
      <c r="M43" s="12">
        <f t="shared" si="22"/>
        <v>-113.43697499232715</v>
      </c>
      <c r="N43" s="12">
        <f t="shared" si="22"/>
        <v>-113.43697499232715</v>
      </c>
      <c r="O43" s="12">
        <f t="shared" si="22"/>
        <v>-113.43697499232715</v>
      </c>
      <c r="P43" s="12">
        <f t="shared" si="22"/>
        <v>-105.39536389278032</v>
      </c>
      <c r="Q43" s="12">
        <f t="shared" si="22"/>
        <v>-105.39536389278032</v>
      </c>
      <c r="R43" s="12">
        <f t="shared" ref="R43:W43" si="23">R39+10*LOG10(R41)</f>
        <v>-113.43697499232715</v>
      </c>
      <c r="S43" s="12">
        <f t="shared" si="23"/>
        <v>-113.43697499232715</v>
      </c>
      <c r="T43" s="8">
        <f t="shared" si="23"/>
        <v>-113.43697499232715</v>
      </c>
      <c r="U43" s="8">
        <f t="shared" si="23"/>
        <v>-113.43697499232715</v>
      </c>
      <c r="V43" s="45">
        <f t="shared" si="23"/>
        <v>-113.43697499232715</v>
      </c>
      <c r="W43" s="45">
        <f t="shared" si="23"/>
        <v>-113.43697499232715</v>
      </c>
    </row>
    <row r="44" spans="1:2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88" t="s">
        <v>16</v>
      </c>
      <c r="W44" s="88" t="s">
        <v>16</v>
      </c>
    </row>
    <row r="45" spans="1:23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  <c r="P45" s="16">
        <v>-7.3</v>
      </c>
      <c r="Q45" s="16">
        <v>-7.3</v>
      </c>
      <c r="R45" s="16">
        <v>-5.4</v>
      </c>
      <c r="S45" s="16">
        <v>-5.4</v>
      </c>
      <c r="T45" s="16">
        <v>-7.3</v>
      </c>
      <c r="U45" s="16">
        <v>-7.3</v>
      </c>
      <c r="V45" s="52">
        <v>-8.6</v>
      </c>
      <c r="W45" s="52">
        <v>-8.6</v>
      </c>
    </row>
    <row r="46" spans="1:23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45" t="s">
        <v>16</v>
      </c>
      <c r="W46" s="45" t="s">
        <v>16</v>
      </c>
    </row>
    <row r="47" spans="1:2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45">
        <v>2</v>
      </c>
      <c r="W47" s="45">
        <v>2</v>
      </c>
    </row>
    <row r="48" spans="1:23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45">
        <v>0</v>
      </c>
      <c r="W48" s="45">
        <v>0</v>
      </c>
    </row>
    <row r="49" spans="1:2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88" t="s">
        <v>16</v>
      </c>
      <c r="W49" s="88" t="s">
        <v>16</v>
      </c>
    </row>
    <row r="50" spans="1:23" ht="27.6">
      <c r="A50" s="7" t="s">
        <v>80</v>
      </c>
      <c r="B50" s="12">
        <f t="shared" ref="B50:G50" si="24">B43+B45+B47-B48</f>
        <v>-115.03697499232715</v>
      </c>
      <c r="C50" s="12">
        <f t="shared" si="24"/>
        <v>-114.83697499232716</v>
      </c>
      <c r="D50" s="12">
        <f t="shared" si="24"/>
        <v>-120.03697499232715</v>
      </c>
      <c r="E50" s="12">
        <f t="shared" si="24"/>
        <v>-120.03697499232715</v>
      </c>
      <c r="F50" s="71">
        <f t="shared" si="24"/>
        <v>-115.29697499232715</v>
      </c>
      <c r="G50" s="71">
        <f t="shared" si="24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25">J43+J45+J47-J48</f>
        <v>-106.80536389278032</v>
      </c>
      <c r="K50" s="12">
        <f t="shared" si="25"/>
        <v>-106.80536389278032</v>
      </c>
      <c r="L50" s="12">
        <f t="shared" ref="L50:Q50" si="26">L43+L45+L47-L48</f>
        <v>-119.13697499232715</v>
      </c>
      <c r="M50" s="12">
        <f t="shared" si="26"/>
        <v>-119.13697499232715</v>
      </c>
      <c r="N50" s="12">
        <f t="shared" si="26"/>
        <v>-125.15697499232715</v>
      </c>
      <c r="O50" s="12">
        <f t="shared" si="26"/>
        <v>-125.15697499232715</v>
      </c>
      <c r="P50" s="12">
        <f t="shared" si="26"/>
        <v>-110.69536389278032</v>
      </c>
      <c r="Q50" s="12">
        <f t="shared" si="26"/>
        <v>-110.69536389278032</v>
      </c>
      <c r="R50" s="12">
        <f t="shared" ref="R50:W50" si="27">R43+R45+R47-R48</f>
        <v>-116.83697499232716</v>
      </c>
      <c r="S50" s="12">
        <f t="shared" si="27"/>
        <v>-116.83697499232716</v>
      </c>
      <c r="T50" s="8">
        <f t="shared" si="27"/>
        <v>-118.73697499232715</v>
      </c>
      <c r="U50" s="8">
        <f t="shared" si="27"/>
        <v>-118.73697499232715</v>
      </c>
      <c r="V50" s="45">
        <f t="shared" si="27"/>
        <v>-120.03697499232715</v>
      </c>
      <c r="W50" s="45">
        <f t="shared" si="27"/>
        <v>-120.03697499232715</v>
      </c>
    </row>
    <row r="51" spans="1:23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  <c r="V51" s="45" t="s">
        <v>16</v>
      </c>
      <c r="W51" s="45" t="s">
        <v>16</v>
      </c>
    </row>
    <row r="52" spans="1:23" ht="27.6">
      <c r="A52" s="21" t="s">
        <v>83</v>
      </c>
      <c r="B52" s="22">
        <f t="shared" ref="B52:G52" si="28">B25+B30+B33-B34-B50</f>
        <v>154.80818753952377</v>
      </c>
      <c r="C52" s="22">
        <f t="shared" si="28"/>
        <v>151.60818753952378</v>
      </c>
      <c r="D52" s="22">
        <f t="shared" si="28"/>
        <v>160.89818753952378</v>
      </c>
      <c r="E52" s="22">
        <f t="shared" si="28"/>
        <v>157.89818753952378</v>
      </c>
      <c r="F52" s="76">
        <f t="shared" si="28"/>
        <v>155.06818753952376</v>
      </c>
      <c r="G52" s="76">
        <f t="shared" si="28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29">J25+J30+J33-J34-J50</f>
        <v>153.62807622317601</v>
      </c>
      <c r="K52" s="22">
        <f t="shared" si="29"/>
        <v>150.62807622317601</v>
      </c>
      <c r="L52" s="22">
        <f t="shared" ref="L52:Q52" si="30">L25+L30+L33-L34-L50</f>
        <v>158.90818753952379</v>
      </c>
      <c r="M52" s="22">
        <f t="shared" si="30"/>
        <v>155.90818753952379</v>
      </c>
      <c r="N52" s="22">
        <f t="shared" si="30"/>
        <v>164.92818753952378</v>
      </c>
      <c r="O52" s="22">
        <f t="shared" si="30"/>
        <v>161.92818753952378</v>
      </c>
      <c r="P52" s="22">
        <f t="shared" si="30"/>
        <v>154.46657643997696</v>
      </c>
      <c r="Q52" s="22">
        <f t="shared" si="30"/>
        <v>151.46657643997696</v>
      </c>
      <c r="R52" s="22">
        <f t="shared" ref="R52:W52" si="31">R25+R30+R33-R34-R50</f>
        <v>156.60818753952378</v>
      </c>
      <c r="S52" s="22">
        <f t="shared" si="31"/>
        <v>153.60818753952378</v>
      </c>
      <c r="T52" s="22">
        <f t="shared" si="31"/>
        <v>155.50818753952376</v>
      </c>
      <c r="U52" s="22">
        <f t="shared" si="31"/>
        <v>152.50818753952376</v>
      </c>
      <c r="V52" s="58">
        <f t="shared" si="31"/>
        <v>160.77818753952377</v>
      </c>
      <c r="W52" s="58">
        <f t="shared" si="31"/>
        <v>157.77818753952377</v>
      </c>
    </row>
    <row r="53" spans="1:23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9" t="s">
        <v>16</v>
      </c>
      <c r="W53" s="89" t="s">
        <v>16</v>
      </c>
    </row>
    <row r="54" spans="1:2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51"/>
      <c r="W54" s="51"/>
    </row>
    <row r="55" spans="1:2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3">
        <v>7</v>
      </c>
      <c r="W55" s="83">
        <v>7</v>
      </c>
    </row>
    <row r="56" spans="1:23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3">
        <v>7.56</v>
      </c>
      <c r="W56" s="83">
        <v>7.56</v>
      </c>
    </row>
    <row r="57" spans="1:23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88" t="s">
        <v>16</v>
      </c>
      <c r="W57" s="88" t="s">
        <v>16</v>
      </c>
    </row>
    <row r="58" spans="1:23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3">
        <v>0</v>
      </c>
      <c r="W58" s="83">
        <v>0</v>
      </c>
    </row>
    <row r="59" spans="1:23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3">
        <v>26.25</v>
      </c>
      <c r="W59" s="83">
        <v>26.25</v>
      </c>
    </row>
    <row r="60" spans="1:23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3">
        <v>0</v>
      </c>
      <c r="W60" s="83">
        <v>0</v>
      </c>
    </row>
    <row r="61" spans="1:23" ht="27.6">
      <c r="A61" s="21" t="s">
        <v>108</v>
      </c>
      <c r="B61" s="22">
        <f t="shared" ref="B61:G61" si="32">B52-B56+B58-B59+B60</f>
        <v>120.99818753952377</v>
      </c>
      <c r="C61" s="22">
        <f t="shared" si="32"/>
        <v>117.79818753952378</v>
      </c>
      <c r="D61" s="22">
        <f t="shared" si="32"/>
        <v>127.08818753952377</v>
      </c>
      <c r="E61" s="22">
        <f t="shared" si="32"/>
        <v>124.08818753952377</v>
      </c>
      <c r="F61" s="76">
        <f t="shared" si="32"/>
        <v>121.25818753952376</v>
      </c>
      <c r="G61" s="76">
        <f t="shared" si="32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33">J52-J56+J58-J59+J60</f>
        <v>119.81807622317601</v>
      </c>
      <c r="K61" s="22">
        <f t="shared" si="33"/>
        <v>116.81807622317601</v>
      </c>
      <c r="L61" s="22">
        <f t="shared" ref="L61:Q61" si="34">L52-L56+L58-L59+L60</f>
        <v>125.09818753952379</v>
      </c>
      <c r="M61" s="22">
        <f t="shared" si="34"/>
        <v>122.09818753952379</v>
      </c>
      <c r="N61" s="22">
        <f t="shared" si="34"/>
        <v>131.11818753952377</v>
      </c>
      <c r="O61" s="22">
        <f t="shared" si="34"/>
        <v>128.11818753952377</v>
      </c>
      <c r="P61" s="22">
        <f t="shared" si="34"/>
        <v>120.65657643997696</v>
      </c>
      <c r="Q61" s="22">
        <f t="shared" si="34"/>
        <v>117.65657643997696</v>
      </c>
      <c r="R61" s="22">
        <f t="shared" ref="R61:W61" si="35">R52-R56+R58-R59+R60</f>
        <v>122.79818753952378</v>
      </c>
      <c r="S61" s="22">
        <f t="shared" si="35"/>
        <v>119.79818753952378</v>
      </c>
      <c r="T61" s="22">
        <f t="shared" si="35"/>
        <v>121.69818753952376</v>
      </c>
      <c r="U61" s="22">
        <f t="shared" si="35"/>
        <v>118.69818753952376</v>
      </c>
      <c r="V61" s="58">
        <f t="shared" si="35"/>
        <v>126.96818753952377</v>
      </c>
      <c r="W61" s="58">
        <f t="shared" si="35"/>
        <v>123.96818753952377</v>
      </c>
    </row>
    <row r="62" spans="1:23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9" t="s">
        <v>16</v>
      </c>
      <c r="W62" s="89" t="s">
        <v>16</v>
      </c>
    </row>
    <row r="63" spans="1:23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  <c r="W63" s="90"/>
    </row>
    <row r="64" spans="1:23">
      <c r="A64" s="21" t="s">
        <v>97</v>
      </c>
      <c r="B64" s="22">
        <f t="shared" ref="B64:G64" si="36">B17+B22-B50+B21+B33</f>
        <v>146.03697499232715</v>
      </c>
      <c r="C64" s="22">
        <f t="shared" si="36"/>
        <v>145.83697499232716</v>
      </c>
      <c r="D64" s="22">
        <f t="shared" si="36"/>
        <v>155.07697499232714</v>
      </c>
      <c r="E64" s="22">
        <f t="shared" si="36"/>
        <v>155.07697499232714</v>
      </c>
      <c r="F64" s="76">
        <f t="shared" si="36"/>
        <v>146.29697499232714</v>
      </c>
      <c r="G64" s="76">
        <f t="shared" si="36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37">J17+J22-J50+J21+J33</f>
        <v>144.85686367597938</v>
      </c>
      <c r="K64" s="22">
        <f t="shared" si="37"/>
        <v>144.85686367597938</v>
      </c>
      <c r="L64" s="22">
        <f t="shared" ref="L64:Q64" si="38">L17+L22-L50+L21+L33</f>
        <v>150.13697499232717</v>
      </c>
      <c r="M64" s="22">
        <f t="shared" si="38"/>
        <v>150.13697499232717</v>
      </c>
      <c r="N64" s="22">
        <f t="shared" si="38"/>
        <v>156.15697499232715</v>
      </c>
      <c r="O64" s="22">
        <f t="shared" si="38"/>
        <v>156.15697499232715</v>
      </c>
      <c r="P64" s="22">
        <f t="shared" si="38"/>
        <v>145.69536389278034</v>
      </c>
      <c r="Q64" s="22">
        <f t="shared" si="38"/>
        <v>145.69536389278034</v>
      </c>
      <c r="R64" s="22">
        <f t="shared" ref="R64:W64" si="39">R17+R22-R50+R21+R33</f>
        <v>147.83697499232716</v>
      </c>
      <c r="S64" s="22">
        <f t="shared" si="39"/>
        <v>147.83697499232716</v>
      </c>
      <c r="T64" s="22">
        <f t="shared" si="39"/>
        <v>150.73697499232713</v>
      </c>
      <c r="U64" s="22">
        <f t="shared" si="39"/>
        <v>150.73697499232713</v>
      </c>
      <c r="V64" s="58">
        <f t="shared" si="39"/>
        <v>155.03697499232715</v>
      </c>
      <c r="W64" s="58">
        <f t="shared" si="39"/>
        <v>155.03697499232715</v>
      </c>
    </row>
    <row r="65" spans="1:23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9" t="s">
        <v>16</v>
      </c>
      <c r="W65" s="89" t="s">
        <v>16</v>
      </c>
    </row>
  </sheetData>
  <mergeCells count="11"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65"/>
  <sheetViews>
    <sheetView zoomScale="93" zoomScaleNormal="55" workbookViewId="0">
      <pane xSplit="1" ySplit="1" topLeftCell="W2" activePane="bottomRight" state="frozen"/>
      <selection pane="topRight"/>
      <selection pane="bottomLeft"/>
      <selection pane="bottomRight" activeCell="Y32" sqref="Y32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5.59765625" style="2" customWidth="1"/>
    <col min="15" max="15" width="15.59765625" style="1" customWidth="1"/>
    <col min="16" max="17" width="13.09765625" style="1" customWidth="1"/>
    <col min="18" max="18" width="15.59765625" style="2" customWidth="1"/>
    <col min="19" max="19" width="15.59765625" style="1" customWidth="1"/>
    <col min="20" max="20" width="15.59765625" style="2" customWidth="1"/>
    <col min="21" max="21" width="15.59765625" style="1" customWidth="1"/>
    <col min="22" max="22" width="15.59765625" style="2" customWidth="1"/>
    <col min="23" max="23" width="15.59765625" style="1" customWidth="1"/>
    <col min="24" max="24" width="15.59765625" style="2" customWidth="1"/>
    <col min="25" max="25" width="15.59765625" style="1" customWidth="1"/>
    <col min="26" max="26" width="14.8984375" style="1" customWidth="1"/>
    <col min="27" max="27" width="14.19921875" style="1" customWidth="1"/>
    <col min="28" max="28" width="15.59765625" style="2" customWidth="1"/>
    <col min="29" max="29" width="15.59765625" style="1" customWidth="1"/>
    <col min="30" max="30" width="15.59765625" style="90" customWidth="1"/>
    <col min="31" max="31" width="15.59765625" style="1" customWidth="1"/>
    <col min="32" max="16384" width="9" style="1"/>
  </cols>
  <sheetData>
    <row r="1" spans="1:31" ht="14.25" customHeight="1">
      <c r="A1" s="3"/>
      <c r="B1" s="96" t="s">
        <v>100</v>
      </c>
      <c r="C1" s="96"/>
      <c r="D1" s="96" t="s">
        <v>101</v>
      </c>
      <c r="E1" s="96"/>
      <c r="F1" s="97" t="s">
        <v>113</v>
      </c>
      <c r="G1" s="97"/>
      <c r="H1" s="96" t="s">
        <v>114</v>
      </c>
      <c r="I1" s="96"/>
      <c r="J1" s="96" t="s">
        <v>120</v>
      </c>
      <c r="K1" s="96"/>
      <c r="L1" s="96" t="s">
        <v>125</v>
      </c>
      <c r="M1" s="96"/>
      <c r="N1" s="96" t="s">
        <v>129</v>
      </c>
      <c r="O1" s="96"/>
      <c r="P1" s="96" t="s">
        <v>135</v>
      </c>
      <c r="Q1" s="96"/>
      <c r="R1" s="96" t="s">
        <v>137</v>
      </c>
      <c r="S1" s="96"/>
      <c r="T1" s="96" t="s">
        <v>140</v>
      </c>
      <c r="U1" s="96"/>
      <c r="V1" s="96" t="s">
        <v>142</v>
      </c>
      <c r="W1" s="96"/>
      <c r="X1" s="96" t="s">
        <v>144</v>
      </c>
      <c r="Y1" s="96"/>
      <c r="Z1" s="96" t="s">
        <v>145</v>
      </c>
      <c r="AA1" s="96"/>
      <c r="AB1" s="96" t="s">
        <v>146</v>
      </c>
      <c r="AC1" s="96"/>
      <c r="AD1" s="98" t="s">
        <v>147</v>
      </c>
      <c r="AE1" s="98"/>
    </row>
    <row r="2" spans="1:3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  <c r="AD2" s="87" t="s">
        <v>102</v>
      </c>
      <c r="AE2" s="86" t="s">
        <v>110</v>
      </c>
    </row>
    <row r="3" spans="1:3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45">
        <v>2.6</v>
      </c>
      <c r="AE3" s="45">
        <v>2.6</v>
      </c>
    </row>
    <row r="4" spans="1:3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45">
        <v>100</v>
      </c>
      <c r="AE4" s="45">
        <v>100</v>
      </c>
    </row>
    <row r="5" spans="1:3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88" t="s">
        <v>16</v>
      </c>
      <c r="AE5" s="88" t="s">
        <v>16</v>
      </c>
    </row>
    <row r="6" spans="1:3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88" t="s">
        <v>16</v>
      </c>
      <c r="AE6" s="88" t="s">
        <v>16</v>
      </c>
    </row>
    <row r="7" spans="1:31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">
        <v>0.01</v>
      </c>
      <c r="AA7" s="11">
        <v>0.01</v>
      </c>
      <c r="AB7" s="11">
        <v>0.01</v>
      </c>
      <c r="AC7" s="11">
        <v>0.01</v>
      </c>
      <c r="AD7" s="50">
        <v>0.01</v>
      </c>
      <c r="AE7" s="50">
        <v>0.01</v>
      </c>
    </row>
    <row r="8" spans="1:3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88" t="s">
        <v>16</v>
      </c>
      <c r="AE8" s="88" t="s">
        <v>16</v>
      </c>
    </row>
    <row r="9" spans="1:3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45" t="s">
        <v>22</v>
      </c>
      <c r="AE9" s="45" t="s">
        <v>22</v>
      </c>
    </row>
    <row r="10" spans="1:3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45">
        <v>3</v>
      </c>
      <c r="AE10" s="45">
        <v>3</v>
      </c>
    </row>
    <row r="11" spans="1:3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51"/>
      <c r="AE11" s="51"/>
    </row>
    <row r="12" spans="1:3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45">
        <v>1</v>
      </c>
      <c r="AE12" s="45">
        <v>1</v>
      </c>
    </row>
    <row r="13" spans="1:3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8">
        <v>64</v>
      </c>
      <c r="W13" s="8">
        <v>64</v>
      </c>
      <c r="X13" s="8">
        <v>64</v>
      </c>
      <c r="Y13" s="8">
        <v>64</v>
      </c>
      <c r="Z13" s="8">
        <v>64</v>
      </c>
      <c r="AA13" s="8">
        <v>64</v>
      </c>
      <c r="AB13" s="8">
        <v>64</v>
      </c>
      <c r="AC13" s="8">
        <v>64</v>
      </c>
      <c r="AD13" s="45">
        <v>64</v>
      </c>
      <c r="AE13" s="45">
        <v>64</v>
      </c>
    </row>
    <row r="14" spans="1:31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45">
        <v>1</v>
      </c>
      <c r="AE14" s="45">
        <v>1</v>
      </c>
    </row>
    <row r="15" spans="1:3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45" t="s">
        <v>16</v>
      </c>
      <c r="AE15" s="45" t="s">
        <v>16</v>
      </c>
    </row>
    <row r="16" spans="1:3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45">
        <v>23</v>
      </c>
      <c r="AE16" s="45">
        <v>23</v>
      </c>
    </row>
    <row r="17" spans="1:31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45">
        <v>23</v>
      </c>
      <c r="AE17" s="45">
        <v>23</v>
      </c>
    </row>
    <row r="18" spans="1:31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8">
        <f t="shared" si="3"/>
        <v>0</v>
      </c>
      <c r="W18" s="8">
        <f t="shared" si="3"/>
        <v>-3</v>
      </c>
      <c r="X18" s="8">
        <f>X19+10*LOG10(X12/X14)-X20</f>
        <v>0</v>
      </c>
      <c r="Y18" s="8">
        <f>Y19+10*LOG10(Y12/Y14)-Y20</f>
        <v>-3</v>
      </c>
      <c r="Z18" s="8">
        <f t="shared" ref="Z18:AA18" si="4">Z19+10*LOG10(Z12/Z14)-Z20</f>
        <v>0</v>
      </c>
      <c r="AA18" s="8">
        <f t="shared" si="4"/>
        <v>-3</v>
      </c>
      <c r="AB18" s="8">
        <f>AB19+10*LOG10(AB12/AB14)-AB20</f>
        <v>0</v>
      </c>
      <c r="AC18" s="8">
        <f>AC19+10*LOG10(AC12/AC14)-AC20</f>
        <v>-3</v>
      </c>
      <c r="AD18" s="45">
        <f>AD19+10*LOG10(AD12/AD14)-AD20</f>
        <v>0</v>
      </c>
      <c r="AE18" s="45">
        <f>AE19+10*LOG10(AE12/AE14)-AE20</f>
        <v>-3</v>
      </c>
    </row>
    <row r="19" spans="1:3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45">
        <v>0</v>
      </c>
      <c r="AE19" s="45">
        <v>-3</v>
      </c>
    </row>
    <row r="20" spans="1:31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45">
        <v>0</v>
      </c>
      <c r="AE20" s="45">
        <v>0</v>
      </c>
    </row>
    <row r="21" spans="1:3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45">
        <v>0</v>
      </c>
      <c r="AE21" s="45">
        <v>0</v>
      </c>
    </row>
    <row r="22" spans="1:3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45">
        <v>0</v>
      </c>
      <c r="AE22" s="45">
        <v>0</v>
      </c>
    </row>
    <row r="23" spans="1:3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45">
        <v>0</v>
      </c>
      <c r="AE23" s="45">
        <v>0</v>
      </c>
    </row>
    <row r="24" spans="1:31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45">
        <v>1</v>
      </c>
      <c r="AE24" s="45">
        <v>1</v>
      </c>
    </row>
    <row r="25" spans="1:31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68">
        <f t="shared" si="5"/>
        <v>22</v>
      </c>
      <c r="G25" s="68">
        <f t="shared" si="5"/>
        <v>19</v>
      </c>
      <c r="H25" s="8">
        <f>H17+H18+H21+H22-H24</f>
        <v>22</v>
      </c>
      <c r="I25" s="8">
        <f>I17+I18+I21+I22-I24</f>
        <v>19</v>
      </c>
      <c r="J25" s="8">
        <f t="shared" ref="J25:K25" si="6">J17+J18+J21+J22-J24</f>
        <v>22</v>
      </c>
      <c r="K25" s="8">
        <f t="shared" si="6"/>
        <v>19</v>
      </c>
      <c r="L25" s="8">
        <f t="shared" ref="L25:Q25" si="7">L17+L18+L21+L22-L24</f>
        <v>22</v>
      </c>
      <c r="M25" s="8">
        <f t="shared" si="7"/>
        <v>19</v>
      </c>
      <c r="N25" s="8">
        <f t="shared" si="7"/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ref="R25:W25" si="8">R17+R18+R21+R22-R24</f>
        <v>22</v>
      </c>
      <c r="S25" s="8">
        <f t="shared" si="8"/>
        <v>19</v>
      </c>
      <c r="T25" s="8">
        <f t="shared" si="8"/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8">
        <f>X17+X18+X21+X22-X24</f>
        <v>22</v>
      </c>
      <c r="Y25" s="8">
        <f>Y17+Y18+Y21+Y22-Y24</f>
        <v>19</v>
      </c>
      <c r="Z25" s="8">
        <f t="shared" ref="Z25:AA25" si="9">Z17+Z18+Z21+Z22-Z24</f>
        <v>22</v>
      </c>
      <c r="AA25" s="8">
        <f t="shared" si="9"/>
        <v>19</v>
      </c>
      <c r="AB25" s="8">
        <f>AB17+AB18+AB21+AB22-AB24</f>
        <v>22</v>
      </c>
      <c r="AC25" s="8">
        <f>AC17+AC18+AC21+AC22-AC24</f>
        <v>19</v>
      </c>
      <c r="AD25" s="45">
        <f>AD17+AD18+AD21+AD22-AD24</f>
        <v>22</v>
      </c>
      <c r="AE25" s="45">
        <f>AE17+AE18+AE21+AE22-AE24</f>
        <v>19</v>
      </c>
    </row>
    <row r="26" spans="1:3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88" t="s">
        <v>16</v>
      </c>
      <c r="AE26" s="88" t="s">
        <v>16</v>
      </c>
    </row>
    <row r="27" spans="1:3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51"/>
      <c r="AE27" s="51"/>
    </row>
    <row r="28" spans="1:31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8">
        <v>192</v>
      </c>
      <c r="W28" s="8">
        <v>192</v>
      </c>
      <c r="X28" s="8">
        <v>192</v>
      </c>
      <c r="Y28" s="8">
        <v>192</v>
      </c>
      <c r="Z28" s="8">
        <v>192</v>
      </c>
      <c r="AA28" s="8">
        <v>192</v>
      </c>
      <c r="AB28" s="8">
        <v>192</v>
      </c>
      <c r="AC28" s="8">
        <v>192</v>
      </c>
      <c r="AD28" s="45">
        <v>192</v>
      </c>
      <c r="AE28" s="45">
        <v>192</v>
      </c>
    </row>
    <row r="29" spans="1:31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  <c r="AD29" s="83">
        <v>4</v>
      </c>
      <c r="AE29" s="83">
        <v>4</v>
      </c>
    </row>
    <row r="30" spans="1:31" ht="41.4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12">
        <f t="shared" si="12"/>
        <v>12.771212547196624</v>
      </c>
      <c r="Q30" s="12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8">
        <f t="shared" si="13"/>
        <v>12.771212547196624</v>
      </c>
      <c r="W30" s="8">
        <f t="shared" si="13"/>
        <v>12.771212547196624</v>
      </c>
      <c r="X30" s="8">
        <f>X31+10*LOG10(X28/X13)-X32</f>
        <v>8.7712125471966242</v>
      </c>
      <c r="Y30" s="8">
        <f>Y31+10*LOG10(Y28/Y13)-Y32</f>
        <v>8.7712125471966242</v>
      </c>
      <c r="Z30" s="8">
        <f t="shared" ref="Z30:AA30" si="14">Z31+10*LOG10(Z28/Z13)-Z32</f>
        <v>12.771212547196624</v>
      </c>
      <c r="AA30" s="8">
        <f t="shared" si="14"/>
        <v>12.771212547196624</v>
      </c>
      <c r="AB30" s="8">
        <f>AB31+10*LOG10(AB28/AB13)-AB32</f>
        <v>12.771212547196624</v>
      </c>
      <c r="AC30" s="8">
        <f>AC31+10*LOG10(AC28/AC13)-AC32</f>
        <v>12.771212547196624</v>
      </c>
      <c r="AD30" s="45">
        <f>AD31+10*LOG10(AD28/AD13)-AD32</f>
        <v>9.7412125471966249</v>
      </c>
      <c r="AE30" s="45">
        <f>AE31+10*LOG10(AE28/AE13)-AE32</f>
        <v>9.7412125471966249</v>
      </c>
    </row>
    <row r="31" spans="1:3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45">
        <v>8</v>
      </c>
      <c r="AE31" s="45">
        <v>8</v>
      </c>
    </row>
    <row r="32" spans="1:31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4</v>
      </c>
      <c r="Y32" s="82">
        <v>4</v>
      </c>
      <c r="Z32" s="82">
        <v>0</v>
      </c>
      <c r="AA32" s="82">
        <v>0</v>
      </c>
      <c r="AB32" s="82">
        <v>0</v>
      </c>
      <c r="AC32" s="82">
        <v>0</v>
      </c>
      <c r="AD32" s="83">
        <v>3.03</v>
      </c>
      <c r="AE32" s="83">
        <v>3.03</v>
      </c>
    </row>
    <row r="33" spans="1:31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12</v>
      </c>
      <c r="Q33" s="16">
        <v>12</v>
      </c>
      <c r="R33" s="16">
        <v>12</v>
      </c>
      <c r="S33" s="16">
        <v>12</v>
      </c>
      <c r="T33" s="16">
        <v>8</v>
      </c>
      <c r="U33" s="16">
        <v>8</v>
      </c>
      <c r="V33" s="16">
        <v>12</v>
      </c>
      <c r="W33" s="16">
        <v>12</v>
      </c>
      <c r="X33" s="16">
        <v>9</v>
      </c>
      <c r="Y33" s="16">
        <v>9</v>
      </c>
      <c r="Z33" s="16">
        <v>8</v>
      </c>
      <c r="AA33" s="16">
        <v>8</v>
      </c>
      <c r="AB33" s="16">
        <v>7</v>
      </c>
      <c r="AC33" s="16">
        <v>7</v>
      </c>
      <c r="AD33" s="52">
        <v>12</v>
      </c>
      <c r="AE33" s="52">
        <v>12</v>
      </c>
    </row>
    <row r="34" spans="1:31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45">
        <v>3</v>
      </c>
      <c r="AE34" s="45">
        <v>3</v>
      </c>
    </row>
    <row r="35" spans="1:3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45">
        <v>5</v>
      </c>
      <c r="AE35" s="45">
        <v>5</v>
      </c>
    </row>
    <row r="36" spans="1:3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45">
        <v>-174</v>
      </c>
      <c r="AE36" s="45">
        <v>-174</v>
      </c>
    </row>
    <row r="37" spans="1:31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-161.69999999999999</v>
      </c>
      <c r="Q37" s="82">
        <v>-161.69999999999999</v>
      </c>
      <c r="R37" s="82">
        <v>-165.7</v>
      </c>
      <c r="S37" s="82">
        <v>-165.7</v>
      </c>
      <c r="T37" s="82">
        <v>-999</v>
      </c>
      <c r="U37" s="82">
        <v>-999</v>
      </c>
      <c r="V37" s="82">
        <v>-161.69999999999999</v>
      </c>
      <c r="W37" s="82">
        <v>-161.69999999999999</v>
      </c>
      <c r="X37" s="82">
        <v>-999</v>
      </c>
      <c r="Y37" s="82">
        <v>-999</v>
      </c>
      <c r="Z37" s="82">
        <v>-999</v>
      </c>
      <c r="AA37" s="82">
        <v>-999</v>
      </c>
      <c r="AB37" s="82">
        <v>-160.96</v>
      </c>
      <c r="AC37" s="82">
        <v>-160.96</v>
      </c>
      <c r="AD37" s="83">
        <v>-999</v>
      </c>
      <c r="AE37" s="83">
        <v>-999</v>
      </c>
    </row>
    <row r="38" spans="1:31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  <c r="AB38" s="8" t="s">
        <v>16</v>
      </c>
      <c r="AC38" s="8" t="s">
        <v>16</v>
      </c>
      <c r="AD38" s="45" t="s">
        <v>16</v>
      </c>
      <c r="AE38" s="45" t="s">
        <v>16</v>
      </c>
    </row>
    <row r="39" spans="1:31" ht="27.6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1">
        <f t="shared" si="15"/>
        <v>-169.00000000000003</v>
      </c>
      <c r="G39" s="71">
        <f t="shared" si="15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6">10*LOG10(10^((J35+J36)/10)+10^(J37/10))</f>
        <v>-160.9583889004532</v>
      </c>
      <c r="K39" s="12">
        <f t="shared" si="16"/>
        <v>-160.9583889004532</v>
      </c>
      <c r="L39" s="12">
        <f t="shared" ref="L39:Q39" si="17">10*LOG10(10^((L35+L36)/10)+10^(L37/10))</f>
        <v>-169.00000000000003</v>
      </c>
      <c r="M39" s="12">
        <f t="shared" si="17"/>
        <v>-169.00000000000003</v>
      </c>
      <c r="N39" s="8">
        <f t="shared" si="17"/>
        <v>-160.9583889004532</v>
      </c>
      <c r="O39" s="8">
        <f t="shared" si="17"/>
        <v>-160.9583889004532</v>
      </c>
      <c r="P39" s="12">
        <f t="shared" si="17"/>
        <v>-160.9583889004532</v>
      </c>
      <c r="Q39" s="12">
        <f t="shared" si="17"/>
        <v>-160.9583889004532</v>
      </c>
      <c r="R39" s="12">
        <f t="shared" ref="R39:W39" si="18">10*LOG10(10^((R35+R36)/10)+10^(R37/10))</f>
        <v>-164.03352307536667</v>
      </c>
      <c r="S39" s="12">
        <f t="shared" si="18"/>
        <v>-164.03352307536667</v>
      </c>
      <c r="T39" s="12">
        <f t="shared" si="18"/>
        <v>-169.00000000000003</v>
      </c>
      <c r="U39" s="12">
        <f t="shared" si="18"/>
        <v>-169.00000000000003</v>
      </c>
      <c r="V39" s="8">
        <f t="shared" si="18"/>
        <v>-160.9583889004532</v>
      </c>
      <c r="W39" s="8">
        <f t="shared" si="18"/>
        <v>-160.9583889004532</v>
      </c>
      <c r="X39" s="8">
        <f>10*LOG10(10^((X35+X36)/10)+10^(X37/10))</f>
        <v>-169.00000000000003</v>
      </c>
      <c r="Y39" s="8">
        <f>10*LOG10(10^((Y35+Y36)/10)+10^(Y37/10))</f>
        <v>-169.00000000000003</v>
      </c>
      <c r="Z39" s="8">
        <f t="shared" ref="Z39:AA39" si="19">10*LOG10(10^((Z35+Z36)/10)+10^(Z37/10))</f>
        <v>-169.00000000000003</v>
      </c>
      <c r="AA39" s="8">
        <f t="shared" si="19"/>
        <v>-169.00000000000003</v>
      </c>
      <c r="AB39" s="8">
        <f>10*LOG10(10^((AB35+AB36)/10)+10^(AB37/10))</f>
        <v>-160.32653022945425</v>
      </c>
      <c r="AC39" s="8">
        <f>10*LOG10(10^((AC35+AC36)/10)+10^(AC37/10))</f>
        <v>-160.32653022945425</v>
      </c>
      <c r="AD39" s="45">
        <f>10*LOG10(10^((AD35+AD36)/10)+10^(AD37/10))</f>
        <v>-169.00000000000003</v>
      </c>
      <c r="AE39" s="45">
        <f>10*LOG10(10^((AE35+AE36)/10)+10^(AE37/10))</f>
        <v>-169.00000000000003</v>
      </c>
    </row>
    <row r="40" spans="1:31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88" t="s">
        <v>16</v>
      </c>
      <c r="AE40" s="88" t="s">
        <v>16</v>
      </c>
    </row>
    <row r="41" spans="1:31">
      <c r="A41" s="20" t="s">
        <v>68</v>
      </c>
      <c r="B41" s="12">
        <f t="shared" ref="B41:G41" si="20">1*12*30*1000</f>
        <v>360000</v>
      </c>
      <c r="C41" s="12">
        <f t="shared" si="20"/>
        <v>360000</v>
      </c>
      <c r="D41" s="12">
        <f t="shared" si="20"/>
        <v>360000</v>
      </c>
      <c r="E41" s="12">
        <f t="shared" si="20"/>
        <v>360000</v>
      </c>
      <c r="F41" s="71">
        <f t="shared" si="20"/>
        <v>360000</v>
      </c>
      <c r="G41" s="71">
        <f t="shared" si="20"/>
        <v>360000</v>
      </c>
      <c r="H41" s="12">
        <f>1*12*30*1000</f>
        <v>360000</v>
      </c>
      <c r="I41" s="12">
        <f>1*12*30*1000</f>
        <v>360000</v>
      </c>
      <c r="J41" s="12">
        <f t="shared" ref="J41:K41" si="21">1*12*30*1000</f>
        <v>360000</v>
      </c>
      <c r="K41" s="12">
        <f t="shared" si="21"/>
        <v>360000</v>
      </c>
      <c r="L41" s="12">
        <f t="shared" ref="L41:Q41" si="22">1*12*30*1000</f>
        <v>360000</v>
      </c>
      <c r="M41" s="12">
        <f t="shared" si="22"/>
        <v>360000</v>
      </c>
      <c r="N41" s="8">
        <f t="shared" si="22"/>
        <v>360000</v>
      </c>
      <c r="O41" s="8">
        <f t="shared" si="22"/>
        <v>360000</v>
      </c>
      <c r="P41" s="12">
        <f t="shared" si="22"/>
        <v>360000</v>
      </c>
      <c r="Q41" s="12">
        <f t="shared" si="22"/>
        <v>360000</v>
      </c>
      <c r="R41" s="12">
        <f t="shared" ref="R41:W41" si="23">1*12*30*1000</f>
        <v>360000</v>
      </c>
      <c r="S41" s="12">
        <f t="shared" si="23"/>
        <v>360000</v>
      </c>
      <c r="T41" s="12">
        <f t="shared" si="23"/>
        <v>360000</v>
      </c>
      <c r="U41" s="12">
        <f t="shared" si="23"/>
        <v>360000</v>
      </c>
      <c r="V41" s="8">
        <f t="shared" si="23"/>
        <v>360000</v>
      </c>
      <c r="W41" s="8">
        <f t="shared" si="23"/>
        <v>360000</v>
      </c>
      <c r="X41" s="8">
        <f>1*12*30*1000</f>
        <v>360000</v>
      </c>
      <c r="Y41" s="8">
        <f>1*12*30*1000</f>
        <v>360000</v>
      </c>
      <c r="Z41" s="8">
        <f t="shared" ref="Z41:AA41" si="24">1*12*30*1000</f>
        <v>360000</v>
      </c>
      <c r="AA41" s="8">
        <f t="shared" si="24"/>
        <v>360000</v>
      </c>
      <c r="AB41" s="8">
        <f>1*12*30*1000</f>
        <v>360000</v>
      </c>
      <c r="AC41" s="8">
        <f>1*12*30*1000</f>
        <v>360000</v>
      </c>
      <c r="AD41" s="45">
        <f>1*12*30*1000</f>
        <v>360000</v>
      </c>
      <c r="AE41" s="45">
        <f>1*12*30*1000</f>
        <v>360000</v>
      </c>
    </row>
    <row r="42" spans="1:31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  <c r="AB42" s="8" t="s">
        <v>16</v>
      </c>
      <c r="AC42" s="8" t="s">
        <v>16</v>
      </c>
      <c r="AD42" s="45" t="s">
        <v>16</v>
      </c>
      <c r="AE42" s="45" t="s">
        <v>16</v>
      </c>
    </row>
    <row r="43" spans="1:31">
      <c r="A43" s="7" t="s">
        <v>71</v>
      </c>
      <c r="B43" s="12">
        <f t="shared" ref="B43:G43" si="25">B39+10*LOG10(B41)</f>
        <v>-113.43697499232715</v>
      </c>
      <c r="C43" s="12">
        <f t="shared" si="25"/>
        <v>-113.43697499232715</v>
      </c>
      <c r="D43" s="12">
        <f t="shared" si="25"/>
        <v>-113.43697499232715</v>
      </c>
      <c r="E43" s="12">
        <f t="shared" si="25"/>
        <v>-113.43697499232715</v>
      </c>
      <c r="F43" s="71">
        <f t="shared" si="25"/>
        <v>-113.43697499232715</v>
      </c>
      <c r="G43" s="71">
        <f t="shared" si="2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6">J39+10*LOG10(J41)</f>
        <v>-105.39536389278032</v>
      </c>
      <c r="K43" s="12">
        <f t="shared" si="26"/>
        <v>-105.39536389278032</v>
      </c>
      <c r="L43" s="12">
        <f t="shared" ref="L43:Q43" si="27">L39+10*LOG10(L41)</f>
        <v>-113.43697499232715</v>
      </c>
      <c r="M43" s="12">
        <f t="shared" si="27"/>
        <v>-113.43697499232715</v>
      </c>
      <c r="N43" s="8">
        <f t="shared" si="27"/>
        <v>-105.39536389278032</v>
      </c>
      <c r="O43" s="8">
        <f t="shared" si="27"/>
        <v>-105.39536389278032</v>
      </c>
      <c r="P43" s="12">
        <f t="shared" si="27"/>
        <v>-105.39536389278032</v>
      </c>
      <c r="Q43" s="12">
        <f t="shared" si="27"/>
        <v>-105.39536389278032</v>
      </c>
      <c r="R43" s="12">
        <f t="shared" ref="R43:W43" si="28">R39+10*LOG10(R41)</f>
        <v>-108.4704980676938</v>
      </c>
      <c r="S43" s="12">
        <f t="shared" si="28"/>
        <v>-108.4704980676938</v>
      </c>
      <c r="T43" s="12">
        <f t="shared" si="28"/>
        <v>-113.43697499232715</v>
      </c>
      <c r="U43" s="12">
        <f t="shared" si="28"/>
        <v>-113.43697499232715</v>
      </c>
      <c r="V43" s="8">
        <f t="shared" si="28"/>
        <v>-105.39536389278032</v>
      </c>
      <c r="W43" s="8">
        <f t="shared" si="28"/>
        <v>-105.39536389278032</v>
      </c>
      <c r="X43" s="8">
        <f>X39+10*LOG10(X41)</f>
        <v>-113.43697499232715</v>
      </c>
      <c r="Y43" s="8">
        <f>Y39+10*LOG10(Y41)</f>
        <v>-113.43697499232715</v>
      </c>
      <c r="Z43" s="8">
        <f t="shared" ref="Z43:AA43" si="29">Z39+10*LOG10(Z41)</f>
        <v>-113.43697499232715</v>
      </c>
      <c r="AA43" s="8">
        <f t="shared" si="29"/>
        <v>-113.43697499232715</v>
      </c>
      <c r="AB43" s="8">
        <f>AB39+10*LOG10(AB41)</f>
        <v>-104.76350522178137</v>
      </c>
      <c r="AC43" s="8">
        <f>AC39+10*LOG10(AC41)</f>
        <v>-104.76350522178137</v>
      </c>
      <c r="AD43" s="45">
        <f>AD39+10*LOG10(AD41)</f>
        <v>-113.43697499232715</v>
      </c>
      <c r="AE43" s="45">
        <f>AE39+10*LOG10(AE41)</f>
        <v>-113.43697499232715</v>
      </c>
    </row>
    <row r="44" spans="1:3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139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88" t="s">
        <v>16</v>
      </c>
      <c r="AE44" s="88" t="s">
        <v>16</v>
      </c>
    </row>
    <row r="45" spans="1:31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  <c r="P45" s="16">
        <v>-5.18</v>
      </c>
      <c r="Q45" s="16">
        <v>-5.18</v>
      </c>
      <c r="R45" s="16">
        <v>-8.0399999999999991</v>
      </c>
      <c r="S45" s="16">
        <v>-8.0399999999999991</v>
      </c>
      <c r="T45" s="16">
        <v>-5</v>
      </c>
      <c r="U45" s="16">
        <v>-5</v>
      </c>
      <c r="V45" s="82">
        <v>-3.6</v>
      </c>
      <c r="W45" s="82">
        <v>-3.6</v>
      </c>
      <c r="X45" s="16">
        <v>-5.35</v>
      </c>
      <c r="Y45" s="16">
        <v>-5.43</v>
      </c>
      <c r="Z45" s="16">
        <v>-5.16</v>
      </c>
      <c r="AA45" s="16">
        <v>-4.5999999999999996</v>
      </c>
      <c r="AB45" s="16">
        <v>-5</v>
      </c>
      <c r="AC45" s="16">
        <v>-5</v>
      </c>
      <c r="AD45" s="52">
        <v>-6</v>
      </c>
      <c r="AE45" s="52">
        <v>-6</v>
      </c>
    </row>
    <row r="46" spans="1:31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  <c r="AB46" s="8" t="s">
        <v>16</v>
      </c>
      <c r="AC46" s="8" t="s">
        <v>16</v>
      </c>
      <c r="AD46" s="45" t="s">
        <v>16</v>
      </c>
      <c r="AE46" s="45" t="s">
        <v>16</v>
      </c>
    </row>
    <row r="47" spans="1:3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45">
        <v>2</v>
      </c>
      <c r="AE47" s="45">
        <v>2</v>
      </c>
    </row>
    <row r="48" spans="1:31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45">
        <v>0</v>
      </c>
      <c r="AE48" s="45">
        <v>0</v>
      </c>
    </row>
    <row r="49" spans="1:3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88" t="s">
        <v>16</v>
      </c>
      <c r="AE49" s="88" t="s">
        <v>16</v>
      </c>
    </row>
    <row r="50" spans="1:31" ht="27.6">
      <c r="A50" s="7" t="s">
        <v>80</v>
      </c>
      <c r="B50" s="12">
        <f t="shared" ref="B50:G50" si="30">B43+B45+B47-B48</f>
        <v>-112.03697499232715</v>
      </c>
      <c r="C50" s="12">
        <f t="shared" si="30"/>
        <v>-111.53697499232715</v>
      </c>
      <c r="D50" s="12">
        <f t="shared" si="30"/>
        <v>-117.51697499232715</v>
      </c>
      <c r="E50" s="12">
        <f t="shared" si="30"/>
        <v>-117.51697499232715</v>
      </c>
      <c r="F50" s="71">
        <f t="shared" si="30"/>
        <v>-115.42697499232715</v>
      </c>
      <c r="G50" s="71">
        <f t="shared" si="30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31">J43+J45+J47-J48</f>
        <v>-104.25306389278032</v>
      </c>
      <c r="K50" s="12">
        <f t="shared" si="31"/>
        <v>-104.25306389278032</v>
      </c>
      <c r="L50" s="12">
        <f t="shared" ref="L50:Q50" si="32">L43+L45+L47-L48</f>
        <v>-117.43697499232715</v>
      </c>
      <c r="M50" s="12">
        <f t="shared" si="32"/>
        <v>-117.43697499232715</v>
      </c>
      <c r="N50" s="8">
        <f t="shared" si="32"/>
        <v>-103.39536389278032</v>
      </c>
      <c r="O50" s="8">
        <f t="shared" si="32"/>
        <v>-103.39536389278032</v>
      </c>
      <c r="P50" s="12">
        <f t="shared" si="32"/>
        <v>-108.57536389278033</v>
      </c>
      <c r="Q50" s="12">
        <f t="shared" si="32"/>
        <v>-108.57536389278033</v>
      </c>
      <c r="R50" s="12">
        <f t="shared" ref="R50:W50" si="33">R43+R45+R47-R48</f>
        <v>-114.51049806769379</v>
      </c>
      <c r="S50" s="12">
        <f t="shared" si="33"/>
        <v>-114.51049806769379</v>
      </c>
      <c r="T50" s="12">
        <f t="shared" si="33"/>
        <v>-116.43697499232715</v>
      </c>
      <c r="U50" s="12">
        <f t="shared" si="33"/>
        <v>-116.43697499232715</v>
      </c>
      <c r="V50" s="8">
        <f t="shared" si="33"/>
        <v>-106.99536389278032</v>
      </c>
      <c r="W50" s="8">
        <f t="shared" si="33"/>
        <v>-106.99536389278032</v>
      </c>
      <c r="X50" s="8">
        <f>X43+X45+X47-X48</f>
        <v>-116.78697499232715</v>
      </c>
      <c r="Y50" s="8">
        <f>Y43+Y45+Y47-Y48</f>
        <v>-116.86697499232716</v>
      </c>
      <c r="Z50" s="8">
        <f t="shared" ref="Z50:AA50" si="34">Z43+Z45+Z47-Z48</f>
        <v>-116.59697499232715</v>
      </c>
      <c r="AA50" s="8">
        <f t="shared" si="34"/>
        <v>-116.03697499232715</v>
      </c>
      <c r="AB50" s="8">
        <f>AB43+AB45+AB47-AB48</f>
        <v>-107.76350522178137</v>
      </c>
      <c r="AC50" s="8">
        <f>AC43+AC45+AC47-AC48</f>
        <v>-107.76350522178137</v>
      </c>
      <c r="AD50" s="45">
        <f>AD43+AD45+AD47-AD48</f>
        <v>-117.43697499232715</v>
      </c>
      <c r="AE50" s="45">
        <f>AE43+AE45+AE47-AE48</f>
        <v>-117.43697499232715</v>
      </c>
    </row>
    <row r="51" spans="1:31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8" t="s">
        <v>16</v>
      </c>
      <c r="Y51" s="8" t="s">
        <v>16</v>
      </c>
      <c r="Z51" s="8" t="s">
        <v>16</v>
      </c>
      <c r="AA51" s="8" t="s">
        <v>16</v>
      </c>
      <c r="AB51" s="8" t="s">
        <v>16</v>
      </c>
      <c r="AC51" s="8" t="s">
        <v>16</v>
      </c>
      <c r="AD51" s="45" t="s">
        <v>16</v>
      </c>
      <c r="AE51" s="45" t="s">
        <v>16</v>
      </c>
    </row>
    <row r="52" spans="1:31" ht="27.6">
      <c r="A52" s="21" t="s">
        <v>83</v>
      </c>
      <c r="B52" s="22">
        <f t="shared" ref="B52:G52" si="35">B25+B30+B33-B34-B50</f>
        <v>151.80818753952377</v>
      </c>
      <c r="C52" s="22">
        <f t="shared" si="35"/>
        <v>148.30818753952377</v>
      </c>
      <c r="D52" s="22">
        <f t="shared" si="35"/>
        <v>158.37818753952376</v>
      </c>
      <c r="E52" s="22">
        <f t="shared" si="35"/>
        <v>155.37818753952376</v>
      </c>
      <c r="F52" s="76">
        <f t="shared" si="35"/>
        <v>155.19818753952376</v>
      </c>
      <c r="G52" s="76">
        <f t="shared" si="35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36">J25+J30+J33-J34-J50</f>
        <v>151.07577622317601</v>
      </c>
      <c r="K52" s="22">
        <f t="shared" si="36"/>
        <v>148.07577622317601</v>
      </c>
      <c r="L52" s="22">
        <f t="shared" ref="L52:Q52" si="37">L25+L30+L33-L34-L50</f>
        <v>157.20818753952378</v>
      </c>
      <c r="M52" s="22">
        <f t="shared" si="37"/>
        <v>154.20818753952378</v>
      </c>
      <c r="N52" s="22">
        <f t="shared" si="37"/>
        <v>150.21657643997696</v>
      </c>
      <c r="O52" s="22">
        <f t="shared" si="37"/>
        <v>147.21657643997696</v>
      </c>
      <c r="P52" s="22">
        <f t="shared" si="37"/>
        <v>152.34657643997696</v>
      </c>
      <c r="Q52" s="22">
        <f t="shared" si="37"/>
        <v>149.34657643997696</v>
      </c>
      <c r="R52" s="22">
        <f t="shared" ref="R52:W52" si="38">R25+R30+R33-R34-R50</f>
        <v>158.28171061489041</v>
      </c>
      <c r="S52" s="22">
        <f t="shared" si="38"/>
        <v>155.28171061489041</v>
      </c>
      <c r="T52" s="22">
        <f t="shared" si="38"/>
        <v>156.20818753952378</v>
      </c>
      <c r="U52" s="22">
        <f t="shared" si="38"/>
        <v>153.20818753952378</v>
      </c>
      <c r="V52" s="22">
        <f t="shared" si="38"/>
        <v>150.76657643997694</v>
      </c>
      <c r="W52" s="22">
        <f t="shared" si="38"/>
        <v>147.76657643997694</v>
      </c>
      <c r="X52" s="22">
        <f>X25+X30+X33-X34-X50</f>
        <v>153.55818753952377</v>
      </c>
      <c r="Y52" s="22">
        <f>Y25+Y30+Y33-Y34-Y50</f>
        <v>150.63818753952378</v>
      </c>
      <c r="Z52" s="22">
        <f t="shared" ref="Z52:AA52" si="39">Z25+Z30+Z33-Z34-Z50</f>
        <v>156.36818753952377</v>
      </c>
      <c r="AA52" s="22">
        <f t="shared" si="39"/>
        <v>152.80818753952377</v>
      </c>
      <c r="AB52" s="22">
        <f>AB25+AB30+AB33-AB34-AB50</f>
        <v>146.534717768978</v>
      </c>
      <c r="AC52" s="22">
        <f>AC25+AC30+AC33-AC34-AC50</f>
        <v>143.534717768978</v>
      </c>
      <c r="AD52" s="58">
        <f>AD25+AD30+AD33-AD34-AD50</f>
        <v>158.17818753952378</v>
      </c>
      <c r="AE52" s="58">
        <f>AE25+AE30+AE33-AE34-AE50</f>
        <v>155.17818753952378</v>
      </c>
    </row>
    <row r="53" spans="1:31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85" t="s">
        <v>16</v>
      </c>
      <c r="AA53" s="85" t="s">
        <v>16</v>
      </c>
      <c r="AB53" s="85" t="s">
        <v>16</v>
      </c>
      <c r="AC53" s="85" t="s">
        <v>16</v>
      </c>
      <c r="AD53" s="89" t="s">
        <v>16</v>
      </c>
      <c r="AE53" s="89" t="s">
        <v>16</v>
      </c>
    </row>
    <row r="54" spans="1:3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51"/>
      <c r="AE54" s="51"/>
    </row>
    <row r="55" spans="1:3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3">
        <v>7</v>
      </c>
      <c r="AE55" s="83">
        <v>7</v>
      </c>
    </row>
    <row r="56" spans="1:31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  <c r="X56" s="82">
        <v>7.56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3">
        <v>7.56</v>
      </c>
      <c r="AE56" s="83">
        <v>7.56</v>
      </c>
    </row>
    <row r="57" spans="1:31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9" t="s">
        <v>16</v>
      </c>
      <c r="AA57" s="9" t="s">
        <v>16</v>
      </c>
      <c r="AB57" s="9" t="s">
        <v>16</v>
      </c>
      <c r="AC57" s="9" t="s">
        <v>16</v>
      </c>
      <c r="AD57" s="88" t="s">
        <v>16</v>
      </c>
      <c r="AE57" s="88" t="s">
        <v>16</v>
      </c>
    </row>
    <row r="58" spans="1:3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3">
        <v>0</v>
      </c>
      <c r="AE58" s="83">
        <v>0</v>
      </c>
    </row>
    <row r="59" spans="1:3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23.25</v>
      </c>
      <c r="S59" s="82">
        <v>23.25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3">
        <v>26.25</v>
      </c>
      <c r="AE59" s="83">
        <v>26.25</v>
      </c>
    </row>
    <row r="60" spans="1:3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3">
        <v>0</v>
      </c>
      <c r="AE60" s="83">
        <v>0</v>
      </c>
    </row>
    <row r="61" spans="1:31" ht="27.6">
      <c r="A61" s="21" t="s">
        <v>108</v>
      </c>
      <c r="B61" s="22">
        <f t="shared" ref="B61:G61" si="40">B52-B56+B58-B59+B60</f>
        <v>117.99818753952377</v>
      </c>
      <c r="C61" s="22">
        <f t="shared" si="40"/>
        <v>114.49818753952377</v>
      </c>
      <c r="D61" s="22">
        <f t="shared" si="40"/>
        <v>124.56818753952376</v>
      </c>
      <c r="E61" s="22">
        <f t="shared" si="40"/>
        <v>121.56818753952376</v>
      </c>
      <c r="F61" s="76">
        <f t="shared" si="40"/>
        <v>121.38818753952376</v>
      </c>
      <c r="G61" s="76">
        <f t="shared" si="40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41">J52-J56+J58-J59+J60</f>
        <v>117.265776223176</v>
      </c>
      <c r="K61" s="22">
        <f t="shared" si="41"/>
        <v>114.265776223176</v>
      </c>
      <c r="L61" s="22">
        <f t="shared" ref="L61:Q61" si="42">L52-L56+L58-L59+L60</f>
        <v>123.39818753952378</v>
      </c>
      <c r="M61" s="22">
        <f t="shared" si="42"/>
        <v>120.39818753952378</v>
      </c>
      <c r="N61" s="22">
        <f t="shared" si="42"/>
        <v>116.38657643997695</v>
      </c>
      <c r="O61" s="22">
        <f t="shared" si="42"/>
        <v>113.38657643997695</v>
      </c>
      <c r="P61" s="22">
        <f t="shared" si="42"/>
        <v>118.53657643997695</v>
      </c>
      <c r="Q61" s="22">
        <f t="shared" si="42"/>
        <v>115.53657643997695</v>
      </c>
      <c r="R61" s="22">
        <f t="shared" ref="R61:W61" si="43">R52-R56+R58-R59+R60</f>
        <v>127.47171061489041</v>
      </c>
      <c r="S61" s="22">
        <f t="shared" si="43"/>
        <v>124.47171061489041</v>
      </c>
      <c r="T61" s="22">
        <f t="shared" si="43"/>
        <v>122.39818753952378</v>
      </c>
      <c r="U61" s="22">
        <f t="shared" si="43"/>
        <v>119.39818753952378</v>
      </c>
      <c r="V61" s="22">
        <f t="shared" si="43"/>
        <v>116.95657643997694</v>
      </c>
      <c r="W61" s="22">
        <f t="shared" si="43"/>
        <v>113.95657643997694</v>
      </c>
      <c r="X61" s="22">
        <f>X52-X56+X58-X59+X60</f>
        <v>119.74818753952377</v>
      </c>
      <c r="Y61" s="22">
        <f>Y52-Y56+Y58-Y59+Y60</f>
        <v>116.82818753952378</v>
      </c>
      <c r="Z61" s="22">
        <f t="shared" ref="Z61:AA61" si="44">Z52-Z56+Z58-Z59+Z60</f>
        <v>122.55818753952377</v>
      </c>
      <c r="AA61" s="22">
        <f t="shared" si="44"/>
        <v>118.99818753952377</v>
      </c>
      <c r="AB61" s="22">
        <f>AB52-AB56+AB58-AB59+AB60</f>
        <v>112.724717768978</v>
      </c>
      <c r="AC61" s="22">
        <f>AC52-AC56+AC58-AC59+AC60</f>
        <v>109.724717768978</v>
      </c>
      <c r="AD61" s="58">
        <f>AD52-AD56+AD58-AD59+AD60</f>
        <v>124.36818753952377</v>
      </c>
      <c r="AE61" s="58">
        <f>AE52-AE56+AE58-AE59+AE60</f>
        <v>121.36818753952377</v>
      </c>
    </row>
    <row r="62" spans="1:31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85" t="s">
        <v>16</v>
      </c>
      <c r="AA62" s="85" t="s">
        <v>16</v>
      </c>
      <c r="AB62" s="85" t="s">
        <v>16</v>
      </c>
      <c r="AC62" s="85" t="s">
        <v>16</v>
      </c>
      <c r="AD62" s="89" t="s">
        <v>16</v>
      </c>
      <c r="AE62" s="89" t="s">
        <v>16</v>
      </c>
    </row>
    <row r="63" spans="1:31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  <c r="W63" s="2"/>
      <c r="Y63" s="2"/>
      <c r="Z63" s="2"/>
      <c r="AA63" s="2"/>
      <c r="AC63" s="2"/>
      <c r="AE63" s="90"/>
    </row>
    <row r="64" spans="1:31">
      <c r="A64" s="21" t="s">
        <v>97</v>
      </c>
      <c r="B64" s="22">
        <f t="shared" ref="B64:G64" si="45">B17+B22-B50+B21+B33</f>
        <v>143.03697499232715</v>
      </c>
      <c r="C64" s="22">
        <f t="shared" si="45"/>
        <v>142.53697499232715</v>
      </c>
      <c r="D64" s="22">
        <f t="shared" si="45"/>
        <v>152.55697499232716</v>
      </c>
      <c r="E64" s="22">
        <f t="shared" si="45"/>
        <v>152.55697499232716</v>
      </c>
      <c r="F64" s="76">
        <f t="shared" si="45"/>
        <v>146.42697499232713</v>
      </c>
      <c r="G64" s="76">
        <f t="shared" si="45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46">J17+J22-J50+J21+J33</f>
        <v>142.30456367597938</v>
      </c>
      <c r="K64" s="22">
        <f t="shared" si="46"/>
        <v>142.30456367597938</v>
      </c>
      <c r="L64" s="22">
        <f t="shared" ref="L64:Q64" si="47">L17+L22-L50+L21+L33</f>
        <v>148.43697499232715</v>
      </c>
      <c r="M64" s="22">
        <f t="shared" si="47"/>
        <v>148.43697499232715</v>
      </c>
      <c r="N64" s="22">
        <f t="shared" si="47"/>
        <v>141.44536389278034</v>
      </c>
      <c r="O64" s="22">
        <f t="shared" si="47"/>
        <v>141.44536389278034</v>
      </c>
      <c r="P64" s="22">
        <f t="shared" si="47"/>
        <v>143.57536389278033</v>
      </c>
      <c r="Q64" s="22">
        <f t="shared" si="47"/>
        <v>143.57536389278033</v>
      </c>
      <c r="R64" s="22">
        <f t="shared" ref="R64:W64" si="48">R17+R22-R50+R21+R33</f>
        <v>149.51049806769379</v>
      </c>
      <c r="S64" s="22">
        <f t="shared" si="48"/>
        <v>149.51049806769379</v>
      </c>
      <c r="T64" s="22">
        <f t="shared" si="48"/>
        <v>147.43697499232715</v>
      </c>
      <c r="U64" s="22">
        <f t="shared" si="48"/>
        <v>147.43697499232715</v>
      </c>
      <c r="V64" s="22">
        <f t="shared" si="48"/>
        <v>141.99536389278032</v>
      </c>
      <c r="W64" s="22">
        <f t="shared" si="48"/>
        <v>141.99536389278032</v>
      </c>
      <c r="X64" s="22">
        <f>X17+X22-X50+X21+X33</f>
        <v>148.78697499232715</v>
      </c>
      <c r="Y64" s="22">
        <f>Y17+Y22-Y50+Y21+Y33</f>
        <v>148.86697499232716</v>
      </c>
      <c r="Z64" s="22">
        <f t="shared" ref="Z64:AA64" si="49">Z17+Z22-Z50+Z21+Z33</f>
        <v>147.59697499232715</v>
      </c>
      <c r="AA64" s="22">
        <f t="shared" si="49"/>
        <v>147.03697499232715</v>
      </c>
      <c r="AB64" s="22">
        <f>AB17+AB22-AB50+AB21+AB33</f>
        <v>137.76350522178137</v>
      </c>
      <c r="AC64" s="22">
        <f>AC17+AC22-AC50+AC21+AC33</f>
        <v>137.76350522178137</v>
      </c>
      <c r="AD64" s="58">
        <f>AD17+AD22-AD50+AD21+AD33</f>
        <v>152.43697499232715</v>
      </c>
      <c r="AE64" s="58">
        <f>AE17+AE22-AE50+AE21+AE33</f>
        <v>152.43697499232715</v>
      </c>
    </row>
    <row r="65" spans="1:31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85" t="s">
        <v>16</v>
      </c>
      <c r="AA65" s="85" t="s">
        <v>16</v>
      </c>
      <c r="AB65" s="85" t="s">
        <v>16</v>
      </c>
      <c r="AC65" s="85" t="s">
        <v>16</v>
      </c>
      <c r="AD65" s="89" t="s">
        <v>16</v>
      </c>
      <c r="AE65" s="89" t="s">
        <v>16</v>
      </c>
    </row>
  </sheetData>
  <mergeCells count="15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  <mergeCell ref="AD1:AE1"/>
    <mergeCell ref="AB1:AC1"/>
    <mergeCell ref="Z1:AA1"/>
    <mergeCell ref="X1:Y1"/>
    <mergeCell ref="V1:W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65"/>
  <sheetViews>
    <sheetView zoomScaleNormal="100" workbookViewId="0">
      <pane xSplit="1" ySplit="1" topLeftCell="Z50" activePane="bottomRight" state="frozen"/>
      <selection pane="topRight"/>
      <selection pane="bottomLeft"/>
      <selection pane="bottomRight" activeCell="AH1" sqref="AH1:AI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4.59765625" style="1" customWidth="1"/>
    <col min="15" max="15" width="13.0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4.09765625" style="1" customWidth="1"/>
    <col min="21" max="21" width="15.8984375" style="1" customWidth="1"/>
    <col min="22" max="22" width="15.59765625" style="2" customWidth="1"/>
    <col min="23" max="23" width="15.59765625" style="1" customWidth="1"/>
    <col min="24" max="24" width="15.59765625" style="2" customWidth="1"/>
    <col min="25" max="25" width="15.59765625" style="1" customWidth="1"/>
    <col min="26" max="26" width="15.59765625" style="2" customWidth="1"/>
    <col min="27" max="27" width="15.59765625" style="1" customWidth="1"/>
    <col min="28" max="28" width="15.59765625" style="2" customWidth="1"/>
    <col min="29" max="29" width="15.59765625" style="1" customWidth="1"/>
    <col min="30" max="30" width="13.09765625" style="1" customWidth="1"/>
    <col min="31" max="31" width="12.8984375" style="1" customWidth="1"/>
    <col min="32" max="32" width="15.59765625" style="2" customWidth="1"/>
    <col min="33" max="33" width="15.59765625" style="1" customWidth="1"/>
    <col min="34" max="34" width="15.59765625" style="90" customWidth="1"/>
    <col min="35" max="35" width="15.59765625" style="1" customWidth="1"/>
    <col min="36" max="16384" width="9" style="1"/>
  </cols>
  <sheetData>
    <row r="1" spans="1:35" ht="14.25" customHeight="1">
      <c r="A1" s="3"/>
      <c r="B1" s="96" t="s">
        <v>100</v>
      </c>
      <c r="C1" s="96"/>
      <c r="D1" s="96" t="s">
        <v>101</v>
      </c>
      <c r="E1" s="96"/>
      <c r="F1" s="97" t="s">
        <v>113</v>
      </c>
      <c r="G1" s="97"/>
      <c r="H1" s="96" t="s">
        <v>114</v>
      </c>
      <c r="I1" s="96"/>
      <c r="J1" s="96" t="s">
        <v>120</v>
      </c>
      <c r="K1" s="96"/>
      <c r="L1" s="96" t="s">
        <v>125</v>
      </c>
      <c r="M1" s="96"/>
      <c r="N1" s="96" t="s">
        <v>127</v>
      </c>
      <c r="O1" s="96"/>
      <c r="P1" s="96" t="s">
        <v>129</v>
      </c>
      <c r="Q1" s="96"/>
      <c r="R1" s="96" t="s">
        <v>130</v>
      </c>
      <c r="S1" s="96"/>
      <c r="T1" s="96" t="s">
        <v>131</v>
      </c>
      <c r="U1" s="96"/>
      <c r="V1" s="96" t="s">
        <v>138</v>
      </c>
      <c r="W1" s="96"/>
      <c r="X1" s="96" t="s">
        <v>140</v>
      </c>
      <c r="Y1" s="96"/>
      <c r="Z1" s="96" t="s">
        <v>142</v>
      </c>
      <c r="AA1" s="96"/>
      <c r="AB1" s="96" t="s">
        <v>144</v>
      </c>
      <c r="AC1" s="96"/>
      <c r="AD1" s="96" t="s">
        <v>145</v>
      </c>
      <c r="AE1" s="96"/>
      <c r="AF1" s="96" t="s">
        <v>146</v>
      </c>
      <c r="AG1" s="96"/>
      <c r="AH1" s="98" t="s">
        <v>147</v>
      </c>
      <c r="AI1" s="98"/>
    </row>
    <row r="2" spans="1:3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  <c r="AD2" s="5" t="s">
        <v>102</v>
      </c>
      <c r="AE2" s="6" t="s">
        <v>110</v>
      </c>
      <c r="AF2" s="5" t="s">
        <v>102</v>
      </c>
      <c r="AG2" s="6" t="s">
        <v>110</v>
      </c>
      <c r="AH2" s="87" t="s">
        <v>102</v>
      </c>
      <c r="AI2" s="86" t="s">
        <v>110</v>
      </c>
    </row>
    <row r="3" spans="1:3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>
        <v>2.6</v>
      </c>
      <c r="AF3" s="8">
        <v>2.6</v>
      </c>
      <c r="AG3" s="8">
        <v>2.6</v>
      </c>
      <c r="AH3" s="45">
        <v>2.6</v>
      </c>
      <c r="AI3" s="45">
        <v>2.6</v>
      </c>
    </row>
    <row r="4" spans="1:3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  <c r="AF4" s="8">
        <v>100</v>
      </c>
      <c r="AG4" s="8">
        <v>100</v>
      </c>
      <c r="AH4" s="45">
        <v>100</v>
      </c>
      <c r="AI4" s="45">
        <v>100</v>
      </c>
    </row>
    <row r="5" spans="1:3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88" t="s">
        <v>16</v>
      </c>
      <c r="AI5" s="88" t="s">
        <v>16</v>
      </c>
    </row>
    <row r="6" spans="1:3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8">
        <v>1000000</v>
      </c>
      <c r="AA6" s="8">
        <v>1000000</v>
      </c>
      <c r="AB6" s="8">
        <v>1000000</v>
      </c>
      <c r="AC6" s="8">
        <v>1000000</v>
      </c>
      <c r="AD6" s="8">
        <v>1000000</v>
      </c>
      <c r="AE6" s="8">
        <v>1000000</v>
      </c>
      <c r="AF6" s="8">
        <v>1000000</v>
      </c>
      <c r="AG6" s="8">
        <v>1000000</v>
      </c>
      <c r="AH6" s="45">
        <v>1000000</v>
      </c>
      <c r="AI6" s="45">
        <v>1000000</v>
      </c>
    </row>
    <row r="7" spans="1:3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88" t="s">
        <v>16</v>
      </c>
      <c r="AI7" s="88" t="s">
        <v>16</v>
      </c>
    </row>
    <row r="8" spans="1:3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  <c r="AF8" s="11">
        <v>0.1</v>
      </c>
      <c r="AG8" s="11">
        <v>0.1</v>
      </c>
      <c r="AH8" s="50">
        <v>0.1</v>
      </c>
      <c r="AI8" s="50">
        <v>0.1</v>
      </c>
    </row>
    <row r="9" spans="1:3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8" t="s">
        <v>22</v>
      </c>
      <c r="AE9" s="8" t="s">
        <v>22</v>
      </c>
      <c r="AF9" s="8" t="s">
        <v>22</v>
      </c>
      <c r="AG9" s="8" t="s">
        <v>22</v>
      </c>
      <c r="AH9" s="45" t="s">
        <v>22</v>
      </c>
      <c r="AI9" s="45" t="s">
        <v>22</v>
      </c>
    </row>
    <row r="10" spans="1:3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8">
        <v>3</v>
      </c>
      <c r="AG10" s="8">
        <v>3</v>
      </c>
      <c r="AH10" s="45">
        <v>3</v>
      </c>
      <c r="AI10" s="45">
        <v>3</v>
      </c>
    </row>
    <row r="11" spans="1:3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51"/>
      <c r="AI11" s="51"/>
    </row>
    <row r="12" spans="1:3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  <c r="AF12" s="8">
        <v>1</v>
      </c>
      <c r="AG12" s="8">
        <v>1</v>
      </c>
      <c r="AH12" s="45">
        <v>1</v>
      </c>
      <c r="AI12" s="45">
        <v>1</v>
      </c>
    </row>
    <row r="13" spans="1:3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  <c r="AB13" s="8">
        <v>64</v>
      </c>
      <c r="AC13" s="8">
        <v>64</v>
      </c>
      <c r="AD13" s="8">
        <v>64</v>
      </c>
      <c r="AE13" s="8">
        <v>64</v>
      </c>
      <c r="AF13" s="8">
        <v>64</v>
      </c>
      <c r="AG13" s="8">
        <v>64</v>
      </c>
      <c r="AH13" s="45">
        <v>64</v>
      </c>
      <c r="AI13" s="45">
        <v>64</v>
      </c>
    </row>
    <row r="14" spans="1:3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  <c r="AF14" s="8">
        <v>1</v>
      </c>
      <c r="AG14" s="8">
        <v>1</v>
      </c>
      <c r="AH14" s="45">
        <v>1</v>
      </c>
      <c r="AI14" s="45">
        <v>1</v>
      </c>
    </row>
    <row r="15" spans="1:3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8" t="s">
        <v>16</v>
      </c>
      <c r="AE15" s="8" t="s">
        <v>16</v>
      </c>
      <c r="AF15" s="8" t="s">
        <v>16</v>
      </c>
      <c r="AG15" s="8" t="s">
        <v>16</v>
      </c>
      <c r="AH15" s="45" t="s">
        <v>16</v>
      </c>
      <c r="AI15" s="45" t="s">
        <v>16</v>
      </c>
    </row>
    <row r="16" spans="1:3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8">
        <v>23</v>
      </c>
      <c r="AE16" s="8">
        <v>23</v>
      </c>
      <c r="AF16" s="8">
        <v>23</v>
      </c>
      <c r="AG16" s="8">
        <v>23</v>
      </c>
      <c r="AH16" s="45">
        <v>23</v>
      </c>
      <c r="AI16" s="45">
        <v>23</v>
      </c>
    </row>
    <row r="17" spans="1:35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8">
        <v>23</v>
      </c>
      <c r="AE17" s="8">
        <v>23</v>
      </c>
      <c r="AF17" s="8">
        <v>23</v>
      </c>
      <c r="AG17" s="8">
        <v>23</v>
      </c>
      <c r="AH17" s="45">
        <v>23</v>
      </c>
      <c r="AI17" s="45">
        <v>23</v>
      </c>
    </row>
    <row r="18" spans="1:35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 t="shared" ref="X18:AC18" si="4">X19+10*LOG10(X12/X14)-X20</f>
        <v>0</v>
      </c>
      <c r="Y18" s="12">
        <f t="shared" si="4"/>
        <v>-3</v>
      </c>
      <c r="Z18" s="8">
        <f t="shared" si="4"/>
        <v>0</v>
      </c>
      <c r="AA18" s="8">
        <f t="shared" si="4"/>
        <v>-3</v>
      </c>
      <c r="AB18" s="8">
        <f t="shared" si="4"/>
        <v>0</v>
      </c>
      <c r="AC18" s="8">
        <f t="shared" si="4"/>
        <v>-3</v>
      </c>
      <c r="AD18" s="8">
        <f t="shared" ref="AD18:AI18" si="5">AD19+10*LOG10(AD12/AD14)-AD20</f>
        <v>0</v>
      </c>
      <c r="AE18" s="8">
        <f t="shared" si="5"/>
        <v>-3</v>
      </c>
      <c r="AF18" s="8">
        <f t="shared" si="5"/>
        <v>0</v>
      </c>
      <c r="AG18" s="8">
        <f t="shared" si="5"/>
        <v>-3</v>
      </c>
      <c r="AH18" s="45">
        <f t="shared" si="5"/>
        <v>0</v>
      </c>
      <c r="AI18" s="45">
        <f t="shared" si="5"/>
        <v>-3</v>
      </c>
    </row>
    <row r="19" spans="1:3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8">
        <v>0</v>
      </c>
      <c r="AE19" s="8">
        <v>-3</v>
      </c>
      <c r="AF19" s="8">
        <v>0</v>
      </c>
      <c r="AG19" s="8">
        <v>-3</v>
      </c>
      <c r="AH19" s="45">
        <v>0</v>
      </c>
      <c r="AI19" s="45">
        <v>-3</v>
      </c>
    </row>
    <row r="20" spans="1:35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45">
        <v>0</v>
      </c>
      <c r="AI20" s="45">
        <v>0</v>
      </c>
    </row>
    <row r="21" spans="1:3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45">
        <v>0</v>
      </c>
      <c r="AI21" s="45">
        <v>0</v>
      </c>
    </row>
    <row r="22" spans="1:3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45">
        <v>0</v>
      </c>
      <c r="AI22" s="45">
        <v>0</v>
      </c>
    </row>
    <row r="23" spans="1:3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45">
        <v>0</v>
      </c>
      <c r="AI23" s="45">
        <v>0</v>
      </c>
    </row>
    <row r="24" spans="1:35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  <c r="AF24" s="8">
        <v>1</v>
      </c>
      <c r="AG24" s="8">
        <v>1</v>
      </c>
      <c r="AH24" s="45">
        <v>1</v>
      </c>
      <c r="AI24" s="45">
        <v>1</v>
      </c>
    </row>
    <row r="25" spans="1:3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88" t="s">
        <v>16</v>
      </c>
      <c r="AI25" s="88" t="s">
        <v>16</v>
      </c>
    </row>
    <row r="26" spans="1:35">
      <c r="A26" s="7" t="s">
        <v>51</v>
      </c>
      <c r="B26" s="8">
        <f t="shared" ref="B26:G26" si="6">B17+B18+B21-B23-B24</f>
        <v>22</v>
      </c>
      <c r="C26" s="8">
        <f t="shared" si="6"/>
        <v>19</v>
      </c>
      <c r="D26" s="8">
        <f t="shared" si="6"/>
        <v>22</v>
      </c>
      <c r="E26" s="8">
        <f t="shared" si="6"/>
        <v>19</v>
      </c>
      <c r="F26" s="68">
        <f t="shared" si="6"/>
        <v>22</v>
      </c>
      <c r="G26" s="68">
        <f t="shared" si="6"/>
        <v>19</v>
      </c>
      <c r="H26" s="8">
        <f>H17+H18+H21-H23-H24</f>
        <v>22</v>
      </c>
      <c r="I26" s="8">
        <f>I17+I18+I21-I23-I24</f>
        <v>19</v>
      </c>
      <c r="J26" s="8">
        <f t="shared" ref="J26:K26" si="7">J17+J18+J21-J23-J24</f>
        <v>22</v>
      </c>
      <c r="K26" s="8">
        <f t="shared" si="7"/>
        <v>19</v>
      </c>
      <c r="L26" s="8">
        <f t="shared" ref="L26:Q26" si="8">L17+L18+L21-L23-L24</f>
        <v>22</v>
      </c>
      <c r="M26" s="8">
        <f t="shared" si="8"/>
        <v>19</v>
      </c>
      <c r="N26" s="8">
        <f t="shared" si="8"/>
        <v>22</v>
      </c>
      <c r="O26" s="8">
        <f t="shared" si="8"/>
        <v>19</v>
      </c>
      <c r="P26" s="8">
        <f t="shared" si="8"/>
        <v>22</v>
      </c>
      <c r="Q26" s="8">
        <f t="shared" si="8"/>
        <v>19</v>
      </c>
      <c r="R26" s="8">
        <f t="shared" ref="R26:W26" si="9">R17+R18+R21-R23-R24</f>
        <v>22</v>
      </c>
      <c r="S26" s="8">
        <f t="shared" si="9"/>
        <v>19</v>
      </c>
      <c r="T26" s="8">
        <f t="shared" si="9"/>
        <v>22</v>
      </c>
      <c r="U26" s="8">
        <f t="shared" si="9"/>
        <v>19</v>
      </c>
      <c r="V26" s="8">
        <f t="shared" si="9"/>
        <v>22</v>
      </c>
      <c r="W26" s="8">
        <f t="shared" si="9"/>
        <v>19</v>
      </c>
      <c r="X26" s="8">
        <f t="shared" ref="X26:AC26" si="10">X17+X18+X21-X23-X24</f>
        <v>22</v>
      </c>
      <c r="Y26" s="8">
        <f t="shared" si="10"/>
        <v>19</v>
      </c>
      <c r="Z26" s="8">
        <f t="shared" si="10"/>
        <v>22</v>
      </c>
      <c r="AA26" s="8">
        <f t="shared" si="10"/>
        <v>19</v>
      </c>
      <c r="AB26" s="8">
        <f t="shared" si="10"/>
        <v>22</v>
      </c>
      <c r="AC26" s="8">
        <f t="shared" si="10"/>
        <v>19</v>
      </c>
      <c r="AD26" s="8">
        <f t="shared" ref="AD26:AI26" si="11">AD17+AD18+AD21-AD23-AD24</f>
        <v>22</v>
      </c>
      <c r="AE26" s="8">
        <f t="shared" si="11"/>
        <v>19</v>
      </c>
      <c r="AF26" s="8">
        <f t="shared" si="11"/>
        <v>22</v>
      </c>
      <c r="AG26" s="8">
        <f t="shared" si="11"/>
        <v>19</v>
      </c>
      <c r="AH26" s="45">
        <f t="shared" si="11"/>
        <v>22</v>
      </c>
      <c r="AI26" s="45">
        <f t="shared" si="11"/>
        <v>19</v>
      </c>
    </row>
    <row r="27" spans="1:3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51"/>
      <c r="AI27" s="51"/>
    </row>
    <row r="28" spans="1:3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  <c r="AB28" s="8">
        <v>192</v>
      </c>
      <c r="AC28" s="8">
        <v>192</v>
      </c>
      <c r="AD28" s="8">
        <v>192</v>
      </c>
      <c r="AE28" s="8">
        <v>192</v>
      </c>
      <c r="AF28" s="8">
        <v>192</v>
      </c>
      <c r="AG28" s="8">
        <v>192</v>
      </c>
      <c r="AH28" s="45">
        <v>192</v>
      </c>
      <c r="AI28" s="45">
        <v>192</v>
      </c>
    </row>
    <row r="29" spans="1:3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  <c r="AD29" s="82">
        <v>4</v>
      </c>
      <c r="AE29" s="82">
        <v>4</v>
      </c>
      <c r="AF29" s="82">
        <v>4</v>
      </c>
      <c r="AG29" s="82">
        <v>4</v>
      </c>
      <c r="AH29" s="83">
        <v>4</v>
      </c>
      <c r="AI29" s="83">
        <v>4</v>
      </c>
    </row>
    <row r="30" spans="1:35" ht="41.4">
      <c r="A30" s="7" t="s">
        <v>56</v>
      </c>
      <c r="B30" s="12">
        <f t="shared" ref="B30:G30" si="12">B31+10*LOG10(B28/B13)-B32</f>
        <v>12.771212547196624</v>
      </c>
      <c r="C30" s="12">
        <f t="shared" si="12"/>
        <v>12.771212547196624</v>
      </c>
      <c r="D30" s="12">
        <f t="shared" si="12"/>
        <v>9.8212125471966232</v>
      </c>
      <c r="E30" s="12">
        <f t="shared" si="12"/>
        <v>9.8212125471966232</v>
      </c>
      <c r="F30" s="71">
        <f t="shared" si="12"/>
        <v>12.771212547196624</v>
      </c>
      <c r="G30" s="71">
        <f t="shared" si="12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3">J31+10*LOG10(J28/J13)-J32</f>
        <v>12.771212547196624</v>
      </c>
      <c r="K30" s="12">
        <f t="shared" si="13"/>
        <v>12.771212547196624</v>
      </c>
      <c r="L30" s="12">
        <f t="shared" ref="L30:Q30" si="14">L31+10*LOG10(L28/L13)-L32</f>
        <v>12.771212547196624</v>
      </c>
      <c r="M30" s="12">
        <f t="shared" si="14"/>
        <v>12.771212547196624</v>
      </c>
      <c r="N30" s="8">
        <f t="shared" si="14"/>
        <v>12.771212547196624</v>
      </c>
      <c r="O30" s="8">
        <f t="shared" si="14"/>
        <v>12.771212547196624</v>
      </c>
      <c r="P30" s="8">
        <f t="shared" si="14"/>
        <v>12.771212547196624</v>
      </c>
      <c r="Q30" s="8">
        <f t="shared" si="14"/>
        <v>12.771212547196624</v>
      </c>
      <c r="R30" s="12">
        <f t="shared" ref="R30:W30" si="15">R31+10*LOG10(R28/R13)-R32</f>
        <v>12.771212547196624</v>
      </c>
      <c r="S30" s="12">
        <f t="shared" si="15"/>
        <v>12.771212547196624</v>
      </c>
      <c r="T30" s="12">
        <f t="shared" si="15"/>
        <v>12.771212547196624</v>
      </c>
      <c r="U30" s="12">
        <f t="shared" si="15"/>
        <v>12.771212547196624</v>
      </c>
      <c r="V30" s="12">
        <f t="shared" si="15"/>
        <v>12.771212547196624</v>
      </c>
      <c r="W30" s="12">
        <f t="shared" si="15"/>
        <v>12.771212547196624</v>
      </c>
      <c r="X30" s="12">
        <f t="shared" ref="X30:AC30" si="16">X31+10*LOG10(X28/X13)-X32</f>
        <v>12.771212547196624</v>
      </c>
      <c r="Y30" s="12">
        <f t="shared" si="16"/>
        <v>12.771212547196624</v>
      </c>
      <c r="Z30" s="8">
        <f t="shared" si="16"/>
        <v>12.771212547196624</v>
      </c>
      <c r="AA30" s="8">
        <f t="shared" si="16"/>
        <v>12.771212547196624</v>
      </c>
      <c r="AB30" s="8">
        <f t="shared" si="16"/>
        <v>8.7712125471966242</v>
      </c>
      <c r="AC30" s="8">
        <f t="shared" si="16"/>
        <v>8.7712125471966242</v>
      </c>
      <c r="AD30" s="8">
        <f t="shared" ref="AD30:AI30" si="17">AD31+10*LOG10(AD28/AD13)-AD32</f>
        <v>12.771212547196624</v>
      </c>
      <c r="AE30" s="8">
        <f t="shared" si="17"/>
        <v>12.771212547196624</v>
      </c>
      <c r="AF30" s="8">
        <f t="shared" si="17"/>
        <v>12.771212547196624</v>
      </c>
      <c r="AG30" s="8">
        <f t="shared" si="17"/>
        <v>12.771212547196624</v>
      </c>
      <c r="AH30" s="45">
        <f t="shared" si="17"/>
        <v>9.7412125471966249</v>
      </c>
      <c r="AI30" s="45">
        <f t="shared" si="17"/>
        <v>9.7412125471966249</v>
      </c>
    </row>
    <row r="31" spans="1:3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>
        <v>8</v>
      </c>
      <c r="AE31" s="8">
        <v>8</v>
      </c>
      <c r="AF31" s="8">
        <v>8</v>
      </c>
      <c r="AG31" s="8">
        <v>8</v>
      </c>
      <c r="AH31" s="45">
        <v>8</v>
      </c>
      <c r="AI31" s="45">
        <v>8</v>
      </c>
    </row>
    <row r="32" spans="1:35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4</v>
      </c>
      <c r="AC32" s="82">
        <v>4</v>
      </c>
      <c r="AD32" s="82">
        <v>0</v>
      </c>
      <c r="AE32" s="82">
        <v>0</v>
      </c>
      <c r="AF32" s="82">
        <v>0</v>
      </c>
      <c r="AG32" s="82">
        <v>0</v>
      </c>
      <c r="AH32" s="83">
        <v>3.03</v>
      </c>
      <c r="AI32" s="83">
        <v>3.03</v>
      </c>
    </row>
    <row r="33" spans="1:35" ht="27.6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  <c r="T33" s="16">
        <v>12</v>
      </c>
      <c r="U33" s="16">
        <v>12</v>
      </c>
      <c r="V33" s="16">
        <v>12</v>
      </c>
      <c r="W33" s="16">
        <v>12</v>
      </c>
      <c r="X33" s="16">
        <v>12</v>
      </c>
      <c r="Y33" s="16">
        <v>12</v>
      </c>
      <c r="Z33" s="16">
        <v>12</v>
      </c>
      <c r="AA33" s="16">
        <v>12</v>
      </c>
      <c r="AB33" s="16">
        <v>9</v>
      </c>
      <c r="AC33" s="16">
        <v>9</v>
      </c>
      <c r="AD33" s="16">
        <v>12</v>
      </c>
      <c r="AE33" s="16">
        <v>12</v>
      </c>
      <c r="AF33" s="16">
        <v>12</v>
      </c>
      <c r="AG33" s="16">
        <v>12</v>
      </c>
      <c r="AH33" s="52">
        <v>12</v>
      </c>
      <c r="AI33" s="52">
        <v>12</v>
      </c>
    </row>
    <row r="34" spans="1:35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  <c r="AF34" s="8">
        <v>3</v>
      </c>
      <c r="AG34" s="8">
        <v>3</v>
      </c>
      <c r="AH34" s="45">
        <v>3</v>
      </c>
      <c r="AI34" s="45">
        <v>3</v>
      </c>
    </row>
    <row r="35" spans="1:3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8">
        <v>5</v>
      </c>
      <c r="AE35" s="8">
        <v>5</v>
      </c>
      <c r="AF35" s="8">
        <v>5</v>
      </c>
      <c r="AG35" s="8">
        <v>5</v>
      </c>
      <c r="AH35" s="45">
        <v>5</v>
      </c>
      <c r="AI35" s="45">
        <v>5</v>
      </c>
    </row>
    <row r="36" spans="1:3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45">
        <v>-174</v>
      </c>
      <c r="AI36" s="45">
        <v>-174</v>
      </c>
    </row>
    <row r="37" spans="1:3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8" t="s">
        <v>16</v>
      </c>
      <c r="AG37" s="8" t="s">
        <v>16</v>
      </c>
      <c r="AH37" s="45" t="s">
        <v>16</v>
      </c>
      <c r="AI37" s="45" t="s">
        <v>16</v>
      </c>
    </row>
    <row r="38" spans="1:3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82">
        <v>-165.7</v>
      </c>
      <c r="AA38" s="82">
        <v>-165.7</v>
      </c>
      <c r="AB38" s="82">
        <v>-999</v>
      </c>
      <c r="AC38" s="82">
        <v>-999</v>
      </c>
      <c r="AD38" s="82">
        <v>-999</v>
      </c>
      <c r="AE38" s="82">
        <v>-999</v>
      </c>
      <c r="AF38" s="82">
        <v>-165.7</v>
      </c>
      <c r="AG38" s="82">
        <v>-165.7</v>
      </c>
      <c r="AH38" s="83">
        <v>-999</v>
      </c>
      <c r="AI38" s="83">
        <v>-999</v>
      </c>
    </row>
    <row r="39" spans="1:35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88" t="s">
        <v>16</v>
      </c>
      <c r="AI39" s="88" t="s">
        <v>16</v>
      </c>
    </row>
    <row r="40" spans="1:35" ht="27.6">
      <c r="A40" s="7" t="s">
        <v>107</v>
      </c>
      <c r="B40" s="12">
        <f t="shared" ref="B40:G40" si="18">10*LOG10(10^((B35+B36)/10)+10^(B38/10))</f>
        <v>-169.00000000000003</v>
      </c>
      <c r="C40" s="12">
        <f t="shared" si="18"/>
        <v>-169.00000000000003</v>
      </c>
      <c r="D40" s="12">
        <f t="shared" si="18"/>
        <v>-169.00000000000003</v>
      </c>
      <c r="E40" s="12">
        <f t="shared" si="18"/>
        <v>-169.00000000000003</v>
      </c>
      <c r="F40" s="71">
        <f t="shared" si="18"/>
        <v>-169.00000000000003</v>
      </c>
      <c r="G40" s="71">
        <f t="shared" si="18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9">10*LOG10(10^((J35+J36)/10)+10^(J38/10))</f>
        <v>-164.03352307536667</v>
      </c>
      <c r="K40" s="12">
        <f t="shared" si="19"/>
        <v>-164.03352307536667</v>
      </c>
      <c r="L40" s="12">
        <f t="shared" ref="L40:Q40" si="20">10*LOG10(10^((L35+L36)/10)+10^(L38/10))</f>
        <v>-169.00000000000003</v>
      </c>
      <c r="M40" s="12">
        <f t="shared" si="20"/>
        <v>-169.00000000000003</v>
      </c>
      <c r="N40" s="8">
        <f t="shared" si="20"/>
        <v>-169.00000000000003</v>
      </c>
      <c r="O40" s="8">
        <f t="shared" si="20"/>
        <v>-169.00000000000003</v>
      </c>
      <c r="P40" s="8">
        <f t="shared" si="20"/>
        <v>-164.03352307536667</v>
      </c>
      <c r="Q40" s="8">
        <f t="shared" si="20"/>
        <v>-164.03352307536667</v>
      </c>
      <c r="R40" s="12">
        <f t="shared" ref="R40:W40" si="21">10*LOG10(10^((R35+R36)/10)+10^(R38/10))</f>
        <v>-169.00000000000003</v>
      </c>
      <c r="S40" s="12">
        <f t="shared" si="21"/>
        <v>-169.00000000000003</v>
      </c>
      <c r="T40" s="12">
        <f t="shared" si="21"/>
        <v>-164.03352307536667</v>
      </c>
      <c r="U40" s="12">
        <f t="shared" si="21"/>
        <v>-164.03352307536667</v>
      </c>
      <c r="V40" s="12">
        <f t="shared" si="21"/>
        <v>-164.03352307536667</v>
      </c>
      <c r="W40" s="12">
        <f t="shared" si="21"/>
        <v>-164.03352307536667</v>
      </c>
      <c r="X40" s="12">
        <f t="shared" ref="X40:AC40" si="22">10*LOG10(10^((X35+X36)/10)+10^(X38/10))</f>
        <v>-169.00000000000003</v>
      </c>
      <c r="Y40" s="12">
        <f t="shared" si="22"/>
        <v>-169.00000000000003</v>
      </c>
      <c r="Z40" s="8">
        <f t="shared" si="22"/>
        <v>-164.03352307536667</v>
      </c>
      <c r="AA40" s="8">
        <f t="shared" si="22"/>
        <v>-164.03352307536667</v>
      </c>
      <c r="AB40" s="8">
        <f t="shared" si="22"/>
        <v>-169.00000000000003</v>
      </c>
      <c r="AC40" s="8">
        <f t="shared" si="22"/>
        <v>-169.00000000000003</v>
      </c>
      <c r="AD40" s="8">
        <f t="shared" ref="AD40:AI40" si="23">10*LOG10(10^((AD35+AD36)/10)+10^(AD38/10))</f>
        <v>-169.00000000000003</v>
      </c>
      <c r="AE40" s="8">
        <f t="shared" si="23"/>
        <v>-169.00000000000003</v>
      </c>
      <c r="AF40" s="8">
        <f t="shared" si="23"/>
        <v>-164.03352307536667</v>
      </c>
      <c r="AG40" s="8">
        <f t="shared" si="23"/>
        <v>-164.03352307536667</v>
      </c>
      <c r="AH40" s="45">
        <f t="shared" si="23"/>
        <v>-169.00000000000003</v>
      </c>
      <c r="AI40" s="45">
        <f t="shared" si="23"/>
        <v>-169.00000000000003</v>
      </c>
    </row>
    <row r="41" spans="1:3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8" t="s">
        <v>16</v>
      </c>
      <c r="AG41" s="8" t="s">
        <v>16</v>
      </c>
      <c r="AH41" s="45" t="s">
        <v>16</v>
      </c>
      <c r="AI41" s="45" t="s">
        <v>16</v>
      </c>
    </row>
    <row r="42" spans="1:3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24">30*360*1000</f>
        <v>10800000</v>
      </c>
      <c r="G42" s="74">
        <f t="shared" si="24"/>
        <v>10800000</v>
      </c>
      <c r="H42" s="16">
        <f t="shared" si="24"/>
        <v>10800000</v>
      </c>
      <c r="I42" s="16">
        <f t="shared" si="24"/>
        <v>10800000</v>
      </c>
      <c r="J42" s="16">
        <f t="shared" si="24"/>
        <v>10800000</v>
      </c>
      <c r="K42" s="16">
        <f t="shared" si="24"/>
        <v>10800000</v>
      </c>
      <c r="L42" s="16">
        <f t="shared" ref="L42:Q42" si="25">30*360*1000</f>
        <v>10800000</v>
      </c>
      <c r="M42" s="16">
        <f t="shared" si="25"/>
        <v>10800000</v>
      </c>
      <c r="N42" s="16">
        <f t="shared" si="25"/>
        <v>10800000</v>
      </c>
      <c r="O42" s="16">
        <f t="shared" si="25"/>
        <v>10800000</v>
      </c>
      <c r="P42" s="16">
        <f t="shared" si="25"/>
        <v>10800000</v>
      </c>
      <c r="Q42" s="16">
        <f t="shared" si="25"/>
        <v>10800000</v>
      </c>
      <c r="R42" s="16">
        <f t="shared" ref="R42:W42" si="26">30*360*1000</f>
        <v>10800000</v>
      </c>
      <c r="S42" s="16">
        <f t="shared" si="26"/>
        <v>10800000</v>
      </c>
      <c r="T42" s="16">
        <f t="shared" si="26"/>
        <v>10800000</v>
      </c>
      <c r="U42" s="16">
        <f t="shared" si="26"/>
        <v>10800000</v>
      </c>
      <c r="V42" s="16">
        <f t="shared" si="26"/>
        <v>10800000</v>
      </c>
      <c r="W42" s="16">
        <f t="shared" si="26"/>
        <v>10800000</v>
      </c>
      <c r="X42" s="16">
        <f t="shared" ref="X42:AC42" si="27">30*360*1000</f>
        <v>10800000</v>
      </c>
      <c r="Y42" s="16">
        <f t="shared" si="27"/>
        <v>10800000</v>
      </c>
      <c r="Z42" s="16">
        <f t="shared" si="27"/>
        <v>10800000</v>
      </c>
      <c r="AA42" s="16">
        <f t="shared" si="27"/>
        <v>10800000</v>
      </c>
      <c r="AB42" s="16">
        <f t="shared" si="27"/>
        <v>10800000</v>
      </c>
      <c r="AC42" s="16">
        <f t="shared" si="27"/>
        <v>10800000</v>
      </c>
      <c r="AD42" s="16">
        <f t="shared" ref="AD42:AI42" si="28">30*360*1000</f>
        <v>10800000</v>
      </c>
      <c r="AE42" s="16">
        <f t="shared" si="28"/>
        <v>10800000</v>
      </c>
      <c r="AF42" s="16">
        <f t="shared" si="28"/>
        <v>10800000</v>
      </c>
      <c r="AG42" s="16">
        <f t="shared" si="28"/>
        <v>10800000</v>
      </c>
      <c r="AH42" s="52">
        <f t="shared" si="28"/>
        <v>10800000</v>
      </c>
      <c r="AI42" s="52">
        <f t="shared" si="28"/>
        <v>10800000</v>
      </c>
    </row>
    <row r="43" spans="1:3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" t="s">
        <v>16</v>
      </c>
      <c r="AE43" s="9" t="s">
        <v>16</v>
      </c>
      <c r="AF43" s="9" t="s">
        <v>16</v>
      </c>
      <c r="AG43" s="9" t="s">
        <v>16</v>
      </c>
      <c r="AH43" s="88" t="s">
        <v>16</v>
      </c>
      <c r="AI43" s="88" t="s">
        <v>16</v>
      </c>
    </row>
    <row r="44" spans="1:35">
      <c r="A44" s="7" t="s">
        <v>72</v>
      </c>
      <c r="B44" s="12">
        <f t="shared" ref="B44:G44" si="29">B40+10*LOG10(B42)</f>
        <v>-98.66576244513054</v>
      </c>
      <c r="C44" s="12">
        <f t="shared" si="29"/>
        <v>-98.66576244513054</v>
      </c>
      <c r="D44" s="12">
        <f t="shared" si="29"/>
        <v>-98.251835593548279</v>
      </c>
      <c r="E44" s="12">
        <f t="shared" si="29"/>
        <v>-98.251835593548279</v>
      </c>
      <c r="F44" s="71">
        <f t="shared" si="29"/>
        <v>-98.66576244513054</v>
      </c>
      <c r="G44" s="71">
        <f t="shared" si="29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30">J40+10*LOG10(J42)</f>
        <v>-93.699285520497185</v>
      </c>
      <c r="K44" s="12">
        <f t="shared" si="30"/>
        <v>-93.699285520497185</v>
      </c>
      <c r="L44" s="12">
        <f t="shared" ref="L44:Q44" si="31">L40+10*LOG10(L42)</f>
        <v>-98.66576244513054</v>
      </c>
      <c r="M44" s="12">
        <f t="shared" si="31"/>
        <v>-98.66576244513054</v>
      </c>
      <c r="N44" s="8">
        <f t="shared" si="31"/>
        <v>-98.66576244513054</v>
      </c>
      <c r="O44" s="8">
        <f t="shared" si="31"/>
        <v>-98.66576244513054</v>
      </c>
      <c r="P44" s="8">
        <f t="shared" si="31"/>
        <v>-93.699285520497185</v>
      </c>
      <c r="Q44" s="8">
        <f t="shared" si="31"/>
        <v>-93.699285520497185</v>
      </c>
      <c r="R44" s="12">
        <f t="shared" ref="R44:W44" si="32">R40+10*LOG10(R42)</f>
        <v>-98.66576244513054</v>
      </c>
      <c r="S44" s="12">
        <f t="shared" si="32"/>
        <v>-98.66576244513054</v>
      </c>
      <c r="T44" s="12">
        <f t="shared" si="32"/>
        <v>-93.699285520497185</v>
      </c>
      <c r="U44" s="12">
        <f t="shared" si="32"/>
        <v>-93.699285520497185</v>
      </c>
      <c r="V44" s="12">
        <f t="shared" si="32"/>
        <v>-93.699285520497185</v>
      </c>
      <c r="W44" s="12">
        <f t="shared" si="32"/>
        <v>-93.699285520497185</v>
      </c>
      <c r="X44" s="12">
        <f t="shared" ref="X44:AC44" si="33">X40+10*LOG10(X42)</f>
        <v>-98.66576244513054</v>
      </c>
      <c r="Y44" s="12">
        <f t="shared" si="33"/>
        <v>-98.66576244513054</v>
      </c>
      <c r="Z44" s="8">
        <f t="shared" si="33"/>
        <v>-93.699285520497185</v>
      </c>
      <c r="AA44" s="8">
        <f t="shared" si="33"/>
        <v>-93.699285520497185</v>
      </c>
      <c r="AB44" s="8">
        <f t="shared" si="33"/>
        <v>-98.66576244513054</v>
      </c>
      <c r="AC44" s="8">
        <f t="shared" si="33"/>
        <v>-98.66576244513054</v>
      </c>
      <c r="AD44" s="8">
        <f t="shared" ref="AD44:AI44" si="34">AD40+10*LOG10(AD42)</f>
        <v>-98.66576244513054</v>
      </c>
      <c r="AE44" s="8">
        <f t="shared" si="34"/>
        <v>-98.66576244513054</v>
      </c>
      <c r="AF44" s="8">
        <f t="shared" si="34"/>
        <v>-93.699285520497185</v>
      </c>
      <c r="AG44" s="8">
        <f t="shared" si="34"/>
        <v>-93.699285520497185</v>
      </c>
      <c r="AH44" s="45">
        <f t="shared" si="34"/>
        <v>-98.66576244513054</v>
      </c>
      <c r="AI44" s="45">
        <f t="shared" si="34"/>
        <v>-98.66576244513054</v>
      </c>
    </row>
    <row r="45" spans="1:3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8" t="s">
        <v>16</v>
      </c>
      <c r="AG45" s="8" t="s">
        <v>16</v>
      </c>
      <c r="AH45" s="45" t="s">
        <v>16</v>
      </c>
      <c r="AI45" s="45" t="s">
        <v>16</v>
      </c>
    </row>
    <row r="46" spans="1:3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  <c r="T46" s="16">
        <v>-4.3</v>
      </c>
      <c r="U46" s="16">
        <v>-4.3</v>
      </c>
      <c r="V46" s="16">
        <v>-3.48</v>
      </c>
      <c r="W46" s="16">
        <v>-3.48</v>
      </c>
      <c r="X46" s="16">
        <v>-5.3</v>
      </c>
      <c r="Y46" s="16">
        <v>-5.3</v>
      </c>
      <c r="Z46" s="16">
        <v>-4.5</v>
      </c>
      <c r="AA46" s="16">
        <v>-4.5</v>
      </c>
      <c r="AB46" s="16">
        <v>-10.5</v>
      </c>
      <c r="AC46" s="16">
        <v>-10.5</v>
      </c>
      <c r="AD46" s="16">
        <v>-4.5</v>
      </c>
      <c r="AE46" s="16">
        <v>-4.5</v>
      </c>
      <c r="AF46" s="16">
        <v>-3.9</v>
      </c>
      <c r="AG46" s="16">
        <v>-3.9</v>
      </c>
      <c r="AH46" s="52">
        <v>-6.54</v>
      </c>
      <c r="AI46" s="52">
        <v>-6.54</v>
      </c>
    </row>
    <row r="47" spans="1:3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8">
        <v>2</v>
      </c>
      <c r="AG47" s="8">
        <v>2</v>
      </c>
      <c r="AH47" s="45">
        <v>2</v>
      </c>
      <c r="AI47" s="45">
        <v>2</v>
      </c>
    </row>
    <row r="48" spans="1:35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8" t="s">
        <v>16</v>
      </c>
      <c r="AG48" s="8" t="s">
        <v>16</v>
      </c>
      <c r="AH48" s="45" t="s">
        <v>16</v>
      </c>
      <c r="AI48" s="45" t="s">
        <v>16</v>
      </c>
    </row>
    <row r="49" spans="1:3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45">
        <v>0</v>
      </c>
      <c r="AI49" s="45">
        <v>0</v>
      </c>
    </row>
    <row r="50" spans="1:35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88" t="s">
        <v>16</v>
      </c>
      <c r="AI50" s="88" t="s">
        <v>16</v>
      </c>
    </row>
    <row r="51" spans="1:35" ht="27.6">
      <c r="A51" s="7" t="s">
        <v>82</v>
      </c>
      <c r="B51" s="12">
        <f t="shared" ref="B51:G51" si="35">B44+B46+B47-B49</f>
        <v>-95.66576244513054</v>
      </c>
      <c r="C51" s="12">
        <f t="shared" si="35"/>
        <v>-95.66576244513054</v>
      </c>
      <c r="D51" s="12">
        <f t="shared" si="35"/>
        <v>-101.10183559354827</v>
      </c>
      <c r="E51" s="12">
        <f t="shared" si="35"/>
        <v>-101.10183559354827</v>
      </c>
      <c r="F51" s="71">
        <f t="shared" si="35"/>
        <v>-101.36576244513054</v>
      </c>
      <c r="G51" s="71">
        <f t="shared" si="35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36">J44+J46+J47-J49</f>
        <v>-90.949285520497185</v>
      </c>
      <c r="K51" s="12">
        <f t="shared" si="36"/>
        <v>-91.139285520497182</v>
      </c>
      <c r="L51" s="12">
        <f t="shared" ref="L51:Q51" si="37">L44+L46+L47-L49</f>
        <v>-102.96576244513054</v>
      </c>
      <c r="M51" s="12">
        <f t="shared" si="37"/>
        <v>-102.96576244513054</v>
      </c>
      <c r="N51" s="8">
        <f t="shared" si="37"/>
        <v>-107.86576244513054</v>
      </c>
      <c r="O51" s="8">
        <f t="shared" si="37"/>
        <v>-107.86576244513054</v>
      </c>
      <c r="P51" s="8">
        <f t="shared" si="37"/>
        <v>-91.799285520497179</v>
      </c>
      <c r="Q51" s="8">
        <f t="shared" si="37"/>
        <v>-91.799285520497179</v>
      </c>
      <c r="R51" s="12">
        <f t="shared" ref="R51:W51" si="38">R44+R46+R47-R49</f>
        <v>-101.96576244513054</v>
      </c>
      <c r="S51" s="12">
        <f t="shared" si="38"/>
        <v>-101.96576244513054</v>
      </c>
      <c r="T51" s="12">
        <f t="shared" si="38"/>
        <v>-95.999285520497182</v>
      </c>
      <c r="U51" s="12">
        <f t="shared" si="38"/>
        <v>-95.999285520497182</v>
      </c>
      <c r="V51" s="12">
        <f t="shared" si="38"/>
        <v>-95.179285520497189</v>
      </c>
      <c r="W51" s="12">
        <f t="shared" si="38"/>
        <v>-95.179285520497189</v>
      </c>
      <c r="X51" s="12">
        <f t="shared" ref="X51:AC51" si="39">X44+X46+X47-X49</f>
        <v>-101.96576244513054</v>
      </c>
      <c r="Y51" s="12">
        <f t="shared" si="39"/>
        <v>-101.96576244513054</v>
      </c>
      <c r="Z51" s="8">
        <f t="shared" si="39"/>
        <v>-96.199285520497185</v>
      </c>
      <c r="AA51" s="8">
        <f t="shared" si="39"/>
        <v>-96.199285520497185</v>
      </c>
      <c r="AB51" s="8">
        <f t="shared" si="39"/>
        <v>-107.16576244513054</v>
      </c>
      <c r="AC51" s="8">
        <f t="shared" si="39"/>
        <v>-107.16576244513054</v>
      </c>
      <c r="AD51" s="8">
        <f t="shared" ref="AD51:AI51" si="40">AD44+AD46+AD47-AD49</f>
        <v>-101.16576244513054</v>
      </c>
      <c r="AE51" s="8">
        <f t="shared" si="40"/>
        <v>-101.16576244513054</v>
      </c>
      <c r="AF51" s="8">
        <f t="shared" si="40"/>
        <v>-95.59928552049719</v>
      </c>
      <c r="AG51" s="8">
        <f t="shared" si="40"/>
        <v>-95.59928552049719</v>
      </c>
      <c r="AH51" s="45">
        <f t="shared" si="40"/>
        <v>-103.20576244513055</v>
      </c>
      <c r="AI51" s="45">
        <f t="shared" si="40"/>
        <v>-103.20576244513055</v>
      </c>
    </row>
    <row r="52" spans="1:35" ht="27.6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  <c r="AB52" s="85" t="s">
        <v>16</v>
      </c>
      <c r="AC52" s="85" t="s">
        <v>16</v>
      </c>
      <c r="AD52" s="85" t="s">
        <v>16</v>
      </c>
      <c r="AE52" s="85" t="s">
        <v>16</v>
      </c>
      <c r="AF52" s="85" t="s">
        <v>16</v>
      </c>
      <c r="AG52" s="85" t="s">
        <v>16</v>
      </c>
      <c r="AH52" s="89" t="s">
        <v>16</v>
      </c>
      <c r="AI52" s="89" t="s">
        <v>16</v>
      </c>
    </row>
    <row r="53" spans="1:35" ht="27.6">
      <c r="A53" s="29" t="s">
        <v>85</v>
      </c>
      <c r="B53" s="22">
        <f t="shared" ref="B53:G53" si="41">B26+B30+B33-B34-B51</f>
        <v>139.43697499232718</v>
      </c>
      <c r="C53" s="22">
        <f t="shared" si="41"/>
        <v>136.43697499232718</v>
      </c>
      <c r="D53" s="22">
        <f t="shared" si="41"/>
        <v>141.96304814074489</v>
      </c>
      <c r="E53" s="22">
        <f t="shared" si="41"/>
        <v>138.96304814074489</v>
      </c>
      <c r="F53" s="76">
        <f t="shared" si="41"/>
        <v>145.13697499232717</v>
      </c>
      <c r="G53" s="76">
        <f t="shared" si="41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42">J26+J30+J33-J34-J51</f>
        <v>137.77199785089289</v>
      </c>
      <c r="K53" s="22">
        <f t="shared" si="42"/>
        <v>134.96199785089289</v>
      </c>
      <c r="L53" s="22">
        <f t="shared" ref="L53:Q53" si="43">L26+L30+L33-L34-L51</f>
        <v>146.73697499232716</v>
      </c>
      <c r="M53" s="22">
        <f t="shared" si="43"/>
        <v>143.73697499232716</v>
      </c>
      <c r="N53" s="22">
        <f t="shared" si="43"/>
        <v>151.63697499232717</v>
      </c>
      <c r="O53" s="22">
        <f t="shared" si="43"/>
        <v>148.63697499232717</v>
      </c>
      <c r="P53" s="22">
        <f t="shared" si="43"/>
        <v>138.6204980676938</v>
      </c>
      <c r="Q53" s="22">
        <f t="shared" si="43"/>
        <v>135.6204980676938</v>
      </c>
      <c r="R53" s="22">
        <f t="shared" ref="R53:W53" si="44">R26+R30+R33-R34-R51</f>
        <v>145.73697499232716</v>
      </c>
      <c r="S53" s="22">
        <f t="shared" si="44"/>
        <v>142.73697499232716</v>
      </c>
      <c r="T53" s="22">
        <f t="shared" si="44"/>
        <v>139.77049806769381</v>
      </c>
      <c r="U53" s="22">
        <f t="shared" si="44"/>
        <v>136.77049806769381</v>
      </c>
      <c r="V53" s="22">
        <f t="shared" si="44"/>
        <v>138.95049806769381</v>
      </c>
      <c r="W53" s="22">
        <f t="shared" si="44"/>
        <v>135.95049806769381</v>
      </c>
      <c r="X53" s="22">
        <f t="shared" ref="X53:AC53" si="45">X26+X30+X33-X34-X51</f>
        <v>145.73697499232716</v>
      </c>
      <c r="Y53" s="22">
        <f t="shared" si="45"/>
        <v>142.73697499232716</v>
      </c>
      <c r="Z53" s="22">
        <f t="shared" si="45"/>
        <v>139.97049806769382</v>
      </c>
      <c r="AA53" s="22">
        <f t="shared" si="45"/>
        <v>136.97049806769382</v>
      </c>
      <c r="AB53" s="22">
        <f t="shared" si="45"/>
        <v>143.93697499232718</v>
      </c>
      <c r="AC53" s="22">
        <f t="shared" si="45"/>
        <v>140.93697499232718</v>
      </c>
      <c r="AD53" s="22">
        <f t="shared" ref="AD53:AI53" si="46">AD26+AD30+AD33-AD34-AD51</f>
        <v>144.93697499232718</v>
      </c>
      <c r="AE53" s="22">
        <f t="shared" si="46"/>
        <v>141.93697499232718</v>
      </c>
      <c r="AF53" s="22">
        <f t="shared" si="46"/>
        <v>139.3704980676938</v>
      </c>
      <c r="AG53" s="22">
        <f t="shared" si="46"/>
        <v>136.3704980676938</v>
      </c>
      <c r="AH53" s="58">
        <f t="shared" si="46"/>
        <v>143.94697499232717</v>
      </c>
      <c r="AI53" s="58">
        <f t="shared" si="46"/>
        <v>140.94697499232717</v>
      </c>
    </row>
    <row r="54" spans="1:3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51"/>
      <c r="AI54" s="51"/>
    </row>
    <row r="55" spans="1:3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>
        <v>7</v>
      </c>
      <c r="AF55" s="82">
        <v>7</v>
      </c>
      <c r="AG55" s="82">
        <v>7</v>
      </c>
      <c r="AH55" s="83">
        <v>7</v>
      </c>
      <c r="AI55" s="83">
        <v>7</v>
      </c>
    </row>
    <row r="56" spans="1:35" ht="27.6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" t="s">
        <v>16</v>
      </c>
      <c r="AE56" s="9" t="s">
        <v>16</v>
      </c>
      <c r="AF56" s="9" t="s">
        <v>16</v>
      </c>
      <c r="AG56" s="9" t="s">
        <v>16</v>
      </c>
      <c r="AH56" s="88" t="s">
        <v>16</v>
      </c>
      <c r="AI56" s="88" t="s">
        <v>16</v>
      </c>
    </row>
    <row r="57" spans="1:35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>
        <v>4.4800000000000004</v>
      </c>
      <c r="AF57" s="82">
        <v>4.4800000000000004</v>
      </c>
      <c r="AG57" s="82">
        <v>4.4800000000000004</v>
      </c>
      <c r="AH57" s="83">
        <v>4.4800000000000004</v>
      </c>
      <c r="AI57" s="83">
        <v>4.4800000000000004</v>
      </c>
    </row>
    <row r="58" spans="1:3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>
        <v>0</v>
      </c>
      <c r="AF58" s="82">
        <v>0</v>
      </c>
      <c r="AG58" s="82">
        <v>0</v>
      </c>
      <c r="AH58" s="83">
        <v>0</v>
      </c>
      <c r="AI58" s="83">
        <v>0</v>
      </c>
    </row>
    <row r="59" spans="1:3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>
        <v>26.25</v>
      </c>
      <c r="AF59" s="82">
        <v>26.25</v>
      </c>
      <c r="AG59" s="82">
        <v>26.25</v>
      </c>
      <c r="AH59" s="83">
        <v>26.25</v>
      </c>
      <c r="AI59" s="83">
        <v>26.25</v>
      </c>
    </row>
    <row r="60" spans="1:3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>
        <v>0</v>
      </c>
      <c r="AF60" s="82">
        <v>0</v>
      </c>
      <c r="AG60" s="82">
        <v>0</v>
      </c>
      <c r="AH60" s="83">
        <v>0</v>
      </c>
      <c r="AI60" s="83">
        <v>0</v>
      </c>
    </row>
    <row r="61" spans="1:35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  <c r="AB61" s="85" t="s">
        <v>16</v>
      </c>
      <c r="AC61" s="85" t="s">
        <v>16</v>
      </c>
      <c r="AD61" s="85" t="s">
        <v>16</v>
      </c>
      <c r="AE61" s="85" t="s">
        <v>16</v>
      </c>
      <c r="AF61" s="85" t="s">
        <v>16</v>
      </c>
      <c r="AG61" s="85" t="s">
        <v>16</v>
      </c>
      <c r="AH61" s="89" t="s">
        <v>16</v>
      </c>
      <c r="AI61" s="89" t="s">
        <v>16</v>
      </c>
    </row>
    <row r="62" spans="1:35" ht="27.6">
      <c r="A62" s="29" t="s">
        <v>109</v>
      </c>
      <c r="B62" s="22">
        <f t="shared" ref="B62:G62" si="47">B53-B57+B58-B59+B60</f>
        <v>108.70697499232719</v>
      </c>
      <c r="C62" s="22">
        <f t="shared" si="47"/>
        <v>105.70697499232719</v>
      </c>
      <c r="D62" s="22">
        <f t="shared" si="47"/>
        <v>111.2330481407449</v>
      </c>
      <c r="E62" s="22">
        <f t="shared" si="47"/>
        <v>108.2330481407449</v>
      </c>
      <c r="F62" s="76">
        <f t="shared" si="47"/>
        <v>114.40697499232718</v>
      </c>
      <c r="G62" s="76">
        <f t="shared" si="47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48">J53-J57+J58-J59+J60</f>
        <v>107.0419978508929</v>
      </c>
      <c r="K62" s="22">
        <f t="shared" si="48"/>
        <v>104.2319978508929</v>
      </c>
      <c r="L62" s="22">
        <f t="shared" ref="L62:Q62" si="49">L53-L57+L58-L59+L60</f>
        <v>116.00697499232717</v>
      </c>
      <c r="M62" s="22">
        <f t="shared" si="49"/>
        <v>113.00697499232717</v>
      </c>
      <c r="N62" s="22">
        <f t="shared" si="49"/>
        <v>120.90697499232718</v>
      </c>
      <c r="O62" s="22">
        <f t="shared" si="49"/>
        <v>117.90697499232718</v>
      </c>
      <c r="P62" s="22">
        <f t="shared" si="49"/>
        <v>107.89049806769381</v>
      </c>
      <c r="Q62" s="22">
        <f t="shared" si="49"/>
        <v>104.89049806769381</v>
      </c>
      <c r="R62" s="22">
        <f t="shared" ref="R62:W62" si="50">R53-R57+R58-R59+R60</f>
        <v>115.00697499232717</v>
      </c>
      <c r="S62" s="22">
        <f t="shared" si="50"/>
        <v>112.00697499232717</v>
      </c>
      <c r="T62" s="22">
        <f t="shared" si="50"/>
        <v>109.04049806769382</v>
      </c>
      <c r="U62" s="22">
        <f t="shared" si="50"/>
        <v>106.04049806769382</v>
      </c>
      <c r="V62" s="22">
        <f t="shared" si="50"/>
        <v>111.22049806769382</v>
      </c>
      <c r="W62" s="22">
        <f t="shared" si="50"/>
        <v>108.22049806769382</v>
      </c>
      <c r="X62" s="22">
        <f t="shared" ref="X62:AC62" si="51">X53-X57+X58-X59+X60</f>
        <v>115.00697499232717</v>
      </c>
      <c r="Y62" s="22">
        <f t="shared" si="51"/>
        <v>112.00697499232717</v>
      </c>
      <c r="Z62" s="22">
        <f t="shared" si="51"/>
        <v>109.24049806769384</v>
      </c>
      <c r="AA62" s="22">
        <f t="shared" si="51"/>
        <v>106.24049806769384</v>
      </c>
      <c r="AB62" s="22">
        <f t="shared" si="51"/>
        <v>113.20697499232719</v>
      </c>
      <c r="AC62" s="22">
        <f t="shared" si="51"/>
        <v>110.20697499232719</v>
      </c>
      <c r="AD62" s="22">
        <f t="shared" ref="AD62:AI62" si="52">AD53-AD57+AD58-AD59+AD60</f>
        <v>114.20697499232719</v>
      </c>
      <c r="AE62" s="22">
        <f t="shared" si="52"/>
        <v>111.20697499232719</v>
      </c>
      <c r="AF62" s="22">
        <f t="shared" si="52"/>
        <v>108.64049806769381</v>
      </c>
      <c r="AG62" s="22">
        <f t="shared" si="52"/>
        <v>105.64049806769381</v>
      </c>
      <c r="AH62" s="58">
        <f t="shared" si="52"/>
        <v>113.21697499232718</v>
      </c>
      <c r="AI62" s="58">
        <f t="shared" si="52"/>
        <v>110.21697499232718</v>
      </c>
    </row>
    <row r="63" spans="1:35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91"/>
      <c r="AI63" s="91"/>
    </row>
    <row r="64" spans="1:3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  <c r="AB64" s="85" t="s">
        <v>16</v>
      </c>
      <c r="AC64" s="85" t="s">
        <v>16</v>
      </c>
      <c r="AD64" s="85" t="s">
        <v>16</v>
      </c>
      <c r="AE64" s="85" t="s">
        <v>16</v>
      </c>
      <c r="AF64" s="85" t="s">
        <v>16</v>
      </c>
      <c r="AG64" s="85" t="s">
        <v>16</v>
      </c>
      <c r="AH64" s="89" t="s">
        <v>16</v>
      </c>
      <c r="AI64" s="89" t="s">
        <v>16</v>
      </c>
    </row>
    <row r="65" spans="1:35">
      <c r="A65" s="29" t="s">
        <v>98</v>
      </c>
      <c r="B65" s="22">
        <f t="shared" ref="B65:G65" si="53">B17-B23-B51+B21+B33</f>
        <v>130.66576244513055</v>
      </c>
      <c r="C65" s="22">
        <f t="shared" si="53"/>
        <v>130.66576244513055</v>
      </c>
      <c r="D65" s="22">
        <f t="shared" si="53"/>
        <v>136.14183559354828</v>
      </c>
      <c r="E65" s="22">
        <f t="shared" si="53"/>
        <v>136.14183559354828</v>
      </c>
      <c r="F65" s="76">
        <f t="shared" si="53"/>
        <v>136.36576244513054</v>
      </c>
      <c r="G65" s="76">
        <f t="shared" si="53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54">J17-J23-J51+J21+J33</f>
        <v>129.00078530369623</v>
      </c>
      <c r="K65" s="22">
        <f t="shared" si="54"/>
        <v>129.19078530369623</v>
      </c>
      <c r="L65" s="22">
        <f t="shared" ref="L65:Q65" si="55">L17-L23-L51+L21+L33</f>
        <v>137.96576244513054</v>
      </c>
      <c r="M65" s="22">
        <f t="shared" si="55"/>
        <v>137.96576244513054</v>
      </c>
      <c r="N65" s="22">
        <f t="shared" si="55"/>
        <v>142.86576244513054</v>
      </c>
      <c r="O65" s="22">
        <f t="shared" si="55"/>
        <v>142.86576244513054</v>
      </c>
      <c r="P65" s="22">
        <f t="shared" si="55"/>
        <v>129.84928552049718</v>
      </c>
      <c r="Q65" s="22">
        <f t="shared" si="55"/>
        <v>129.84928552049718</v>
      </c>
      <c r="R65" s="22">
        <f t="shared" ref="R65:W65" si="56">R17-R23-R51+R21+R33</f>
        <v>136.96576244513054</v>
      </c>
      <c r="S65" s="22">
        <f t="shared" si="56"/>
        <v>136.96576244513054</v>
      </c>
      <c r="T65" s="22">
        <f t="shared" si="56"/>
        <v>130.99928552049718</v>
      </c>
      <c r="U65" s="22">
        <f t="shared" si="56"/>
        <v>130.99928552049718</v>
      </c>
      <c r="V65" s="22">
        <f t="shared" si="56"/>
        <v>130.17928552049719</v>
      </c>
      <c r="W65" s="22">
        <f t="shared" si="56"/>
        <v>130.17928552049719</v>
      </c>
      <c r="X65" s="22">
        <f t="shared" ref="X65:AC65" si="57">X17-X23-X51+X21+X33</f>
        <v>136.96576244513054</v>
      </c>
      <c r="Y65" s="22">
        <f t="shared" si="57"/>
        <v>136.96576244513054</v>
      </c>
      <c r="Z65" s="22">
        <f t="shared" si="57"/>
        <v>131.1992855204972</v>
      </c>
      <c r="AA65" s="22">
        <f t="shared" si="57"/>
        <v>131.1992855204972</v>
      </c>
      <c r="AB65" s="22">
        <f t="shared" si="57"/>
        <v>139.16576244513055</v>
      </c>
      <c r="AC65" s="22">
        <f t="shared" si="57"/>
        <v>139.16576244513055</v>
      </c>
      <c r="AD65" s="22">
        <f t="shared" ref="AD65:AI65" si="58">AD17-AD23-AD51+AD21+AD33</f>
        <v>136.16576244513055</v>
      </c>
      <c r="AE65" s="22">
        <f t="shared" si="58"/>
        <v>136.16576244513055</v>
      </c>
      <c r="AF65" s="22">
        <f t="shared" si="58"/>
        <v>130.59928552049718</v>
      </c>
      <c r="AG65" s="22">
        <f t="shared" si="58"/>
        <v>130.59928552049718</v>
      </c>
      <c r="AH65" s="58">
        <f t="shared" si="58"/>
        <v>138.20576244513055</v>
      </c>
      <c r="AI65" s="58">
        <f t="shared" si="58"/>
        <v>138.20576244513055</v>
      </c>
    </row>
  </sheetData>
  <mergeCells count="17">
    <mergeCell ref="X1:Y1"/>
    <mergeCell ref="AH1:AI1"/>
    <mergeCell ref="B1:C1"/>
    <mergeCell ref="D1:E1"/>
    <mergeCell ref="F1:G1"/>
    <mergeCell ref="H1:I1"/>
    <mergeCell ref="J1:K1"/>
    <mergeCell ref="L1:M1"/>
    <mergeCell ref="V1:W1"/>
    <mergeCell ref="T1:U1"/>
    <mergeCell ref="R1:S1"/>
    <mergeCell ref="P1:Q1"/>
    <mergeCell ref="N1:O1"/>
    <mergeCell ref="AF1:AG1"/>
    <mergeCell ref="AD1:AE1"/>
    <mergeCell ref="AB1:AC1"/>
    <mergeCell ref="Z1:AA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65"/>
  <sheetViews>
    <sheetView zoomScale="85" zoomScaleNormal="85" workbookViewId="0">
      <pane xSplit="1" ySplit="1" topLeftCell="AN41" activePane="bottomRight" state="frozen"/>
      <selection pane="topRight"/>
      <selection pane="bottomLeft"/>
      <selection pane="bottomRight" activeCell="AY2" sqref="AY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984375" style="1" customWidth="1"/>
    <col min="21" max="21" width="14.5976562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30" width="17.09765625" style="1" customWidth="1"/>
    <col min="31" max="31" width="15.59765625" style="2" customWidth="1"/>
    <col min="32" max="33" width="15.59765625" style="1" customWidth="1"/>
    <col min="34" max="34" width="15.59765625" style="2" customWidth="1"/>
    <col min="35" max="36" width="15.59765625" style="1" customWidth="1"/>
    <col min="37" max="37" width="15.59765625" style="2" customWidth="1"/>
    <col min="38" max="39" width="15.59765625" style="1" customWidth="1"/>
    <col min="40" max="40" width="15.59765625" style="2" customWidth="1"/>
    <col min="41" max="42" width="15.59765625" style="1" customWidth="1"/>
    <col min="43" max="43" width="17" style="1" customWidth="1"/>
    <col min="44" max="44" width="16.59765625" style="1" customWidth="1"/>
    <col min="45" max="45" width="16.09765625" style="1" customWidth="1"/>
    <col min="46" max="46" width="15.59765625" style="2" customWidth="1"/>
    <col min="47" max="48" width="15.59765625" style="1" customWidth="1"/>
    <col min="49" max="49" width="15.59765625" style="90" customWidth="1"/>
    <col min="50" max="51" width="15.59765625" style="1" customWidth="1"/>
    <col min="52" max="16384" width="9" style="1"/>
  </cols>
  <sheetData>
    <row r="1" spans="1:51" ht="14.25" customHeight="1">
      <c r="A1" s="3"/>
      <c r="B1" s="96" t="s">
        <v>100</v>
      </c>
      <c r="C1" s="96"/>
      <c r="D1" s="96"/>
      <c r="E1" s="96" t="s">
        <v>101</v>
      </c>
      <c r="F1" s="96"/>
      <c r="G1" s="97" t="s">
        <v>113</v>
      </c>
      <c r="H1" s="97"/>
      <c r="I1" s="97"/>
      <c r="J1" s="96" t="s">
        <v>114</v>
      </c>
      <c r="K1" s="96"/>
      <c r="L1" s="96"/>
      <c r="M1" s="96" t="s">
        <v>120</v>
      </c>
      <c r="N1" s="96"/>
      <c r="O1" s="96"/>
      <c r="P1" s="96" t="s">
        <v>125</v>
      </c>
      <c r="Q1" s="96"/>
      <c r="R1" s="96"/>
      <c r="S1" s="96" t="s">
        <v>127</v>
      </c>
      <c r="T1" s="96"/>
      <c r="U1" s="96"/>
      <c r="V1" s="96" t="s">
        <v>129</v>
      </c>
      <c r="W1" s="96"/>
      <c r="X1" s="96"/>
      <c r="Y1" s="96" t="s">
        <v>130</v>
      </c>
      <c r="Z1" s="96"/>
      <c r="AA1" s="96"/>
      <c r="AB1" s="96" t="s">
        <v>131</v>
      </c>
      <c r="AC1" s="96"/>
      <c r="AD1" s="96"/>
      <c r="AE1" s="96" t="s">
        <v>138</v>
      </c>
      <c r="AF1" s="96"/>
      <c r="AG1" s="96"/>
      <c r="AH1" s="96" t="s">
        <v>140</v>
      </c>
      <c r="AI1" s="96"/>
      <c r="AJ1" s="96"/>
      <c r="AK1" s="96" t="s">
        <v>142</v>
      </c>
      <c r="AL1" s="96"/>
      <c r="AM1" s="96"/>
      <c r="AN1" s="96" t="s">
        <v>144</v>
      </c>
      <c r="AO1" s="96"/>
      <c r="AP1" s="96"/>
      <c r="AQ1" s="96" t="s">
        <v>145</v>
      </c>
      <c r="AR1" s="96"/>
      <c r="AS1" s="96"/>
      <c r="AT1" s="96" t="s">
        <v>146</v>
      </c>
      <c r="AU1" s="96"/>
      <c r="AV1" s="96"/>
      <c r="AW1" s="96" t="s">
        <v>147</v>
      </c>
      <c r="AX1" s="96"/>
      <c r="AY1" s="96"/>
    </row>
    <row r="2" spans="1:51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  <c r="AQ2" s="5" t="s">
        <v>102</v>
      </c>
      <c r="AR2" s="6" t="s">
        <v>103</v>
      </c>
      <c r="AS2" s="6" t="s">
        <v>104</v>
      </c>
      <c r="AT2" s="5" t="s">
        <v>102</v>
      </c>
      <c r="AU2" s="6" t="s">
        <v>103</v>
      </c>
      <c r="AV2" s="6" t="s">
        <v>104</v>
      </c>
      <c r="AW2" s="87" t="s">
        <v>102</v>
      </c>
      <c r="AX2" s="86" t="s">
        <v>103</v>
      </c>
      <c r="AY2" s="6" t="s">
        <v>104</v>
      </c>
    </row>
    <row r="3" spans="1:5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  <c r="AU3" s="8">
        <v>2.6</v>
      </c>
      <c r="AV3" s="8">
        <v>2.6</v>
      </c>
      <c r="AW3" s="45">
        <v>2.6</v>
      </c>
      <c r="AX3" s="45">
        <v>2.6</v>
      </c>
      <c r="AY3" s="8"/>
    </row>
    <row r="4" spans="1:5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  <c r="AU4" s="8">
        <v>100</v>
      </c>
      <c r="AV4" s="8">
        <v>100</v>
      </c>
      <c r="AW4" s="45">
        <v>100</v>
      </c>
      <c r="AX4" s="45">
        <v>100</v>
      </c>
      <c r="AY4" s="8"/>
    </row>
    <row r="5" spans="1:5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88" t="s">
        <v>16</v>
      </c>
      <c r="AX5" s="88" t="s">
        <v>16</v>
      </c>
      <c r="AY5" s="9"/>
    </row>
    <row r="6" spans="1:5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/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  <c r="AU6" s="9" t="s">
        <v>16</v>
      </c>
      <c r="AV6" s="9" t="s">
        <v>16</v>
      </c>
      <c r="AW6" s="88" t="s">
        <v>16</v>
      </c>
      <c r="AX6" s="88" t="s">
        <v>16</v>
      </c>
      <c r="AY6" s="9"/>
    </row>
    <row r="7" spans="1:51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/>
      <c r="AE7" s="26">
        <v>0.01</v>
      </c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11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  <c r="AU7" s="11">
        <v>0.01</v>
      </c>
      <c r="AV7" s="11">
        <v>0.01</v>
      </c>
      <c r="AW7" s="50">
        <v>0.01</v>
      </c>
      <c r="AX7" s="50">
        <v>0.01</v>
      </c>
      <c r="AY7" s="11"/>
    </row>
    <row r="8" spans="1:5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/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  <c r="AU8" s="9" t="s">
        <v>16</v>
      </c>
      <c r="AV8" s="9" t="s">
        <v>16</v>
      </c>
      <c r="AW8" s="88" t="s">
        <v>16</v>
      </c>
      <c r="AX8" s="88" t="s">
        <v>16</v>
      </c>
      <c r="AY8" s="9"/>
    </row>
    <row r="9" spans="1:5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45" t="s">
        <v>22</v>
      </c>
      <c r="AX9" s="45" t="s">
        <v>22</v>
      </c>
      <c r="AY9" s="8"/>
    </row>
    <row r="10" spans="1:5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45">
        <v>3</v>
      </c>
      <c r="AX10" s="45">
        <v>3</v>
      </c>
      <c r="AY10" s="8"/>
    </row>
    <row r="11" spans="1:51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51"/>
      <c r="AX11" s="51"/>
      <c r="AY11" s="13"/>
    </row>
    <row r="12" spans="1:51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  <c r="AU12" s="8">
        <v>192</v>
      </c>
      <c r="AV12" s="8">
        <v>192</v>
      </c>
      <c r="AW12" s="45">
        <v>192</v>
      </c>
      <c r="AX12" s="45">
        <v>192</v>
      </c>
      <c r="AY12" s="8"/>
    </row>
    <row r="13" spans="1:5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  <c r="AU13" s="8">
        <v>64</v>
      </c>
      <c r="AV13" s="8">
        <v>64</v>
      </c>
      <c r="AW13" s="45">
        <v>64</v>
      </c>
      <c r="AX13" s="45">
        <v>64</v>
      </c>
      <c r="AY13" s="8"/>
    </row>
    <row r="14" spans="1:51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  <c r="AU14" s="82">
        <v>4</v>
      </c>
      <c r="AV14" s="82">
        <v>4</v>
      </c>
      <c r="AW14" s="83">
        <v>4</v>
      </c>
      <c r="AX14" s="83">
        <v>4</v>
      </c>
      <c r="AY14" s="82"/>
    </row>
    <row r="15" spans="1:51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  <c r="AU15" s="8">
        <v>33</v>
      </c>
      <c r="AV15" s="8">
        <v>33</v>
      </c>
      <c r="AW15" s="45">
        <v>33</v>
      </c>
      <c r="AX15" s="45">
        <v>33</v>
      </c>
      <c r="AY15" s="8"/>
    </row>
    <row r="16" spans="1:51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  <c r="AQ16" s="8">
        <f t="shared" ref="AQ16:AS16" si="5">AQ15+10*LOG10(AQ4)</f>
        <v>53</v>
      </c>
      <c r="AR16" s="8">
        <f t="shared" si="5"/>
        <v>53</v>
      </c>
      <c r="AS16" s="8">
        <f t="shared" si="5"/>
        <v>53</v>
      </c>
      <c r="AT16" s="8">
        <f>AT15+10*LOG10(AT4)</f>
        <v>53</v>
      </c>
      <c r="AU16" s="8">
        <f>AU15+10*LOG10(AU4)</f>
        <v>53</v>
      </c>
      <c r="AV16" s="8">
        <f>AV15+10*LOG10(AV4)</f>
        <v>53</v>
      </c>
      <c r="AW16" s="45">
        <f t="shared" ref="AW16:AX16" si="6">AW15+10*LOG10(AW4)</f>
        <v>53</v>
      </c>
      <c r="AX16" s="45">
        <f t="shared" si="6"/>
        <v>53</v>
      </c>
      <c r="AY16" s="8"/>
    </row>
    <row r="17" spans="1:51" ht="27.6">
      <c r="A17" s="7" t="s">
        <v>35</v>
      </c>
      <c r="B17" s="12">
        <f t="shared" ref="B17:I17" si="7">B15+10*LOG10(B41/1000000)</f>
        <v>45.375437381428746</v>
      </c>
      <c r="C17" s="12">
        <f t="shared" si="7"/>
        <v>45.375437381428746</v>
      </c>
      <c r="D17" s="12">
        <f t="shared" si="7"/>
        <v>45.375437381428746</v>
      </c>
      <c r="E17" s="12">
        <f t="shared" si="7"/>
        <v>45.375437381428746</v>
      </c>
      <c r="F17" s="12">
        <f t="shared" si="7"/>
        <v>45.375437381428746</v>
      </c>
      <c r="G17" s="71">
        <f t="shared" si="7"/>
        <v>45.375437381428746</v>
      </c>
      <c r="H17" s="71">
        <f t="shared" si="7"/>
        <v>45.375437381428746</v>
      </c>
      <c r="I17" s="71">
        <f t="shared" si="7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8">M15+10*LOG10(M41/1000000)</f>
        <v>45.375437381428746</v>
      </c>
      <c r="N17" s="12">
        <f t="shared" si="8"/>
        <v>45.375437381428746</v>
      </c>
      <c r="O17" s="12">
        <f t="shared" si="8"/>
        <v>45.375437381428746</v>
      </c>
      <c r="P17" s="12">
        <f t="shared" ref="P17:U17" si="9">P15+10*LOG10(P41/1000000)</f>
        <v>45.375437381428746</v>
      </c>
      <c r="Q17" s="12">
        <f t="shared" si="9"/>
        <v>45.375437381428746</v>
      </c>
      <c r="R17" s="12">
        <f t="shared" si="9"/>
        <v>45.375437381428746</v>
      </c>
      <c r="S17" s="8">
        <f t="shared" si="9"/>
        <v>45.375437381428746</v>
      </c>
      <c r="T17" s="8">
        <f t="shared" si="9"/>
        <v>45.375437381428746</v>
      </c>
      <c r="U17" s="8">
        <f t="shared" si="9"/>
        <v>45.375437381428746</v>
      </c>
      <c r="V17" s="8">
        <f t="shared" ref="V17:AA17" si="10">V15+10*LOG10(V41/1000000)</f>
        <v>45.375437381428746</v>
      </c>
      <c r="W17" s="8">
        <f t="shared" si="10"/>
        <v>45.375437381428746</v>
      </c>
      <c r="X17" s="8">
        <f t="shared" si="10"/>
        <v>45.375437381428746</v>
      </c>
      <c r="Y17" s="12">
        <f t="shared" si="10"/>
        <v>45.375437381428746</v>
      </c>
      <c r="Z17" s="12">
        <f t="shared" si="10"/>
        <v>45.375437381428746</v>
      </c>
      <c r="AA17" s="12">
        <f t="shared" si="10"/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/>
      <c r="AE17" s="12">
        <f t="shared" ref="AE17:AM17" si="11">AE15+10*LOG10(AE41/1000000)</f>
        <v>45.375437381428746</v>
      </c>
      <c r="AF17" s="12">
        <f t="shared" si="11"/>
        <v>45.375437381428746</v>
      </c>
      <c r="AG17" s="12">
        <f t="shared" si="11"/>
        <v>45.375437381428746</v>
      </c>
      <c r="AH17" s="12">
        <f t="shared" si="11"/>
        <v>45.375437381428746</v>
      </c>
      <c r="AI17" s="12">
        <f t="shared" si="11"/>
        <v>45.375437381428746</v>
      </c>
      <c r="AJ17" s="12">
        <f t="shared" si="11"/>
        <v>45.375437381428746</v>
      </c>
      <c r="AK17" s="8">
        <f t="shared" si="11"/>
        <v>45.375437381428746</v>
      </c>
      <c r="AL17" s="8">
        <f t="shared" si="11"/>
        <v>45.375437381428746</v>
      </c>
      <c r="AM17" s="8">
        <f t="shared" si="11"/>
        <v>45.375437381428746</v>
      </c>
      <c r="AN17" s="8">
        <f>AN15+10*LOG10(AN41/1000000)</f>
        <v>45.375437381428746</v>
      </c>
      <c r="AO17" s="8">
        <f>AO15+10*LOG10(AO41/1000000)</f>
        <v>45.375437381428746</v>
      </c>
      <c r="AP17" s="8">
        <f>AP15+10*LOG10(AP41/1000000)</f>
        <v>45.375437381428746</v>
      </c>
      <c r="AQ17" s="8">
        <f t="shared" ref="AQ17:AS17" si="12">AQ15+10*LOG10(AQ41/1000000)</f>
        <v>45.375437381428746</v>
      </c>
      <c r="AR17" s="8">
        <f t="shared" si="12"/>
        <v>45.375437381428746</v>
      </c>
      <c r="AS17" s="8">
        <f t="shared" si="12"/>
        <v>45.375437381428746</v>
      </c>
      <c r="AT17" s="8">
        <f>AT15+10*LOG10(AT41/1000000)</f>
        <v>45.375437381428746</v>
      </c>
      <c r="AU17" s="8">
        <f>AU15+10*LOG10(AU41/1000000)</f>
        <v>45.375437381428746</v>
      </c>
      <c r="AV17" s="8">
        <f>AV15+10*LOG10(AV41/1000000)</f>
        <v>45.375437381428746</v>
      </c>
      <c r="AW17" s="45">
        <f t="shared" ref="AW17:AX17" si="13">AW15+10*LOG10(AW41/1000000)</f>
        <v>45.375437381428746</v>
      </c>
      <c r="AX17" s="45">
        <f t="shared" si="13"/>
        <v>45.375437381428746</v>
      </c>
      <c r="AY17" s="8"/>
    </row>
    <row r="18" spans="1:51" ht="41.4">
      <c r="A18" s="14" t="s">
        <v>37</v>
      </c>
      <c r="B18" s="12">
        <f t="shared" ref="B18:I18" si="14">B19+10*LOG10(B12/B13)-B20</f>
        <v>12.771212547196624</v>
      </c>
      <c r="C18" s="12">
        <f t="shared" si="14"/>
        <v>12.771212547196624</v>
      </c>
      <c r="D18" s="12">
        <f t="shared" si="14"/>
        <v>12.771212547196624</v>
      </c>
      <c r="E18" s="12">
        <f t="shared" si="14"/>
        <v>9.8212125471966232</v>
      </c>
      <c r="F18" s="12">
        <f t="shared" si="14"/>
        <v>9.8212125471966232</v>
      </c>
      <c r="G18" s="71">
        <f t="shared" si="14"/>
        <v>12.771212547196624</v>
      </c>
      <c r="H18" s="71">
        <f t="shared" si="14"/>
        <v>12.771212547196624</v>
      </c>
      <c r="I18" s="71">
        <f t="shared" si="14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5">M19+10*LOG10(M12/M13)-M20</f>
        <v>10.121212547196624</v>
      </c>
      <c r="N18" s="12">
        <f t="shared" si="15"/>
        <v>10.121212547196624</v>
      </c>
      <c r="O18" s="12">
        <f t="shared" si="15"/>
        <v>10.121212547196624</v>
      </c>
      <c r="P18" s="12">
        <f t="shared" ref="P18:U18" si="16">P19+10*LOG10(P12/P13)-P20</f>
        <v>12.771212547196624</v>
      </c>
      <c r="Q18" s="12">
        <f t="shared" si="16"/>
        <v>12.771212547196624</v>
      </c>
      <c r="R18" s="12">
        <f t="shared" si="16"/>
        <v>12.771212547196624</v>
      </c>
      <c r="S18" s="8">
        <f t="shared" si="16"/>
        <v>12.771212547196624</v>
      </c>
      <c r="T18" s="8">
        <f t="shared" si="16"/>
        <v>12.771212547196624</v>
      </c>
      <c r="U18" s="8">
        <f t="shared" si="16"/>
        <v>12.771212547196624</v>
      </c>
      <c r="V18" s="8">
        <f t="shared" ref="V18:AA18" si="17">V19+10*LOG10(V12/V13)-V20</f>
        <v>12.771212547196624</v>
      </c>
      <c r="W18" s="8">
        <f t="shared" si="17"/>
        <v>12.771212547196624</v>
      </c>
      <c r="X18" s="8">
        <f t="shared" si="17"/>
        <v>12.771212547196624</v>
      </c>
      <c r="Y18" s="12">
        <f t="shared" si="17"/>
        <v>12.771212547196624</v>
      </c>
      <c r="Z18" s="12">
        <f t="shared" si="17"/>
        <v>12.771212547196624</v>
      </c>
      <c r="AA18" s="12">
        <f t="shared" si="17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8">AE19+10*LOG10(AE12/AE13)-AE20</f>
        <v>12.771212547196624</v>
      </c>
      <c r="AF18" s="12">
        <f t="shared" si="18"/>
        <v>12.771212547196624</v>
      </c>
      <c r="AG18" s="12">
        <f t="shared" si="18"/>
        <v>12.771212547196624</v>
      </c>
      <c r="AH18" s="12">
        <f t="shared" si="18"/>
        <v>12.771212547196624</v>
      </c>
      <c r="AI18" s="12">
        <f t="shared" si="18"/>
        <v>12.771212547196624</v>
      </c>
      <c r="AJ18" s="12">
        <f t="shared" si="18"/>
        <v>12.771212547196624</v>
      </c>
      <c r="AK18" s="8">
        <f t="shared" si="18"/>
        <v>12.771212547196624</v>
      </c>
      <c r="AL18" s="8">
        <f t="shared" si="18"/>
        <v>12.771212547196624</v>
      </c>
      <c r="AM18" s="8">
        <f t="shared" si="18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8">
        <f t="shared" ref="AQ18:AS18" si="19">AQ19+10*LOG10(AQ12/AQ13)-AQ20</f>
        <v>12.771212547196624</v>
      </c>
      <c r="AR18" s="8">
        <f t="shared" si="19"/>
        <v>12.771212547196624</v>
      </c>
      <c r="AS18" s="8">
        <f t="shared" si="19"/>
        <v>12.771212547196624</v>
      </c>
      <c r="AT18" s="8">
        <f>AT19+10*LOG10(AT12/AT13)-AT20</f>
        <v>12.771212547196624</v>
      </c>
      <c r="AU18" s="8">
        <f>AU19+10*LOG10(AU12/AU13)-AU20</f>
        <v>12.771212547196624</v>
      </c>
      <c r="AV18" s="8">
        <f>AV19+10*LOG10(AV12/AV13)-AV20</f>
        <v>12.771212547196624</v>
      </c>
      <c r="AW18" s="45">
        <f t="shared" ref="AW18:AX18" si="20">AW19+10*LOG10(AW12/AW13)-AW20</f>
        <v>8.4812125471966233</v>
      </c>
      <c r="AX18" s="45">
        <f t="shared" si="20"/>
        <v>8.4812125471966233</v>
      </c>
      <c r="AY18" s="8"/>
    </row>
    <row r="19" spans="1:5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45">
        <v>8</v>
      </c>
      <c r="AX19" s="45">
        <v>8</v>
      </c>
      <c r="AY19" s="8"/>
    </row>
    <row r="20" spans="1:51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3">
        <v>4.29</v>
      </c>
      <c r="AX20" s="83">
        <v>4.29</v>
      </c>
      <c r="AY20" s="82"/>
    </row>
    <row r="21" spans="1:51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21">10*LOG10(N13/N14)-8</f>
        <v>7.0514997831990609</v>
      </c>
      <c r="O21" s="16">
        <f t="shared" si="21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6</v>
      </c>
      <c r="AC21" s="16">
        <v>6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  <c r="AQ21" s="16">
        <v>12</v>
      </c>
      <c r="AR21" s="16">
        <v>12</v>
      </c>
      <c r="AS21" s="16">
        <v>12</v>
      </c>
      <c r="AT21" s="16">
        <v>7</v>
      </c>
      <c r="AU21" s="16">
        <v>7</v>
      </c>
      <c r="AV21" s="16">
        <v>7</v>
      </c>
      <c r="AW21" s="52">
        <v>12</v>
      </c>
      <c r="AX21" s="52">
        <v>12</v>
      </c>
      <c r="AY21" s="16"/>
    </row>
    <row r="22" spans="1:5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45">
        <v>0</v>
      </c>
      <c r="AX22" s="45">
        <v>0</v>
      </c>
      <c r="AY22" s="8"/>
    </row>
    <row r="23" spans="1:5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45">
        <v>0</v>
      </c>
      <c r="AX23" s="45">
        <v>0</v>
      </c>
      <c r="AY23" s="8"/>
    </row>
    <row r="24" spans="1:51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45">
        <v>3</v>
      </c>
      <c r="AX24" s="45">
        <v>3</v>
      </c>
      <c r="AY24" s="8"/>
    </row>
    <row r="25" spans="1:51">
      <c r="A25" s="7" t="s">
        <v>49</v>
      </c>
      <c r="B25" s="12">
        <f t="shared" ref="B25:I25" si="22">B17+B18+B21+B22-B24</f>
        <v>63.146649928625379</v>
      </c>
      <c r="C25" s="12">
        <f t="shared" si="22"/>
        <v>63.146649928625379</v>
      </c>
      <c r="D25" s="12">
        <f t="shared" si="22"/>
        <v>63.146649928625379</v>
      </c>
      <c r="E25" s="12">
        <f t="shared" si="22"/>
        <v>53.806649928625369</v>
      </c>
      <c r="F25" s="12">
        <f t="shared" si="22"/>
        <v>53.806649928625369</v>
      </c>
      <c r="G25" s="71">
        <f t="shared" si="22"/>
        <v>63.146649928625379</v>
      </c>
      <c r="H25" s="71">
        <f t="shared" si="22"/>
        <v>63.146649928625379</v>
      </c>
      <c r="I25" s="71">
        <f t="shared" si="22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23">M17+M18+M21+M22-M24</f>
        <v>59.548149711824436</v>
      </c>
      <c r="N25" s="12">
        <f t="shared" si="23"/>
        <v>59.548149711824436</v>
      </c>
      <c r="O25" s="12">
        <f t="shared" si="23"/>
        <v>59.548149711824436</v>
      </c>
      <c r="P25" s="12">
        <f t="shared" ref="P25:U25" si="24">P17+P18+P21+P22-P24</f>
        <v>63.146649928625379</v>
      </c>
      <c r="Q25" s="12">
        <f t="shared" si="24"/>
        <v>63.146649928625379</v>
      </c>
      <c r="R25" s="12">
        <f t="shared" si="24"/>
        <v>63.146649928625379</v>
      </c>
      <c r="S25" s="8">
        <f t="shared" si="24"/>
        <v>65.146649928625379</v>
      </c>
      <c r="T25" s="8">
        <f t="shared" si="24"/>
        <v>65.146649928625379</v>
      </c>
      <c r="U25" s="8">
        <f t="shared" si="24"/>
        <v>65.146649928625379</v>
      </c>
      <c r="V25" s="8">
        <f t="shared" ref="V25:AA25" si="25">V17+V18+V21+V22-V24</f>
        <v>70.196649928625376</v>
      </c>
      <c r="W25" s="8">
        <f t="shared" si="25"/>
        <v>70.196649928625376</v>
      </c>
      <c r="X25" s="8">
        <f t="shared" si="25"/>
        <v>70.196649928625376</v>
      </c>
      <c r="Y25" s="12">
        <f t="shared" si="25"/>
        <v>63.146649928625379</v>
      </c>
      <c r="Z25" s="12">
        <f t="shared" si="25"/>
        <v>63.146649928625379</v>
      </c>
      <c r="AA25" s="12">
        <f t="shared" si="25"/>
        <v>63.146649928625379</v>
      </c>
      <c r="AB25" s="12">
        <f>AB17+AB18+AB21+AB22-AB24</f>
        <v>61.146649928625379</v>
      </c>
      <c r="AC25" s="12">
        <f>AC17+AC18+AC21+AC22-AC24</f>
        <v>61.146649928625379</v>
      </c>
      <c r="AD25" s="12"/>
      <c r="AE25" s="12">
        <f t="shared" ref="AE25:AM25" si="26">AE17+AE18+AE21+AE22-AE24</f>
        <v>63.146649928625379</v>
      </c>
      <c r="AF25" s="12">
        <f t="shared" si="26"/>
        <v>63.146649928625379</v>
      </c>
      <c r="AG25" s="12">
        <f t="shared" si="26"/>
        <v>63.146649928625379</v>
      </c>
      <c r="AH25" s="12">
        <f t="shared" si="26"/>
        <v>63.146649928625379</v>
      </c>
      <c r="AI25" s="12">
        <f t="shared" si="26"/>
        <v>63.146649928625379</v>
      </c>
      <c r="AJ25" s="12">
        <f t="shared" si="26"/>
        <v>63.146649928625379</v>
      </c>
      <c r="AK25" s="8">
        <f t="shared" si="26"/>
        <v>59.146649928625372</v>
      </c>
      <c r="AL25" s="8">
        <f t="shared" si="26"/>
        <v>59.146649928625372</v>
      </c>
      <c r="AM25" s="8">
        <f t="shared" si="26"/>
        <v>59.146649928625372</v>
      </c>
      <c r="AN25" s="8">
        <f>AN17+AN18+AN21+AN22-AN24</f>
        <v>61.146649928625379</v>
      </c>
      <c r="AO25" s="8">
        <f>AO17+AO18+AO21+AO22-AO24</f>
        <v>61.146649928625379</v>
      </c>
      <c r="AP25" s="8">
        <f>AP17+AP18+AP21+AP22-AP24</f>
        <v>61.146649928625379</v>
      </c>
      <c r="AQ25" s="8">
        <f t="shared" ref="AQ25:AS25" si="27">AQ17+AQ18+AQ21+AQ22-AQ24</f>
        <v>67.146649928625379</v>
      </c>
      <c r="AR25" s="8">
        <f t="shared" si="27"/>
        <v>67.146649928625379</v>
      </c>
      <c r="AS25" s="8">
        <f t="shared" si="27"/>
        <v>67.146649928625379</v>
      </c>
      <c r="AT25" s="8">
        <f>AT17+AT18+AT21+AT22-AT24</f>
        <v>62.146649928625379</v>
      </c>
      <c r="AU25" s="8">
        <f>AU17+AU18+AU21+AU22-AU24</f>
        <v>62.146649928625379</v>
      </c>
      <c r="AV25" s="8">
        <f>AV17+AV18+AV21+AV22-AV24</f>
        <v>62.146649928625379</v>
      </c>
      <c r="AW25" s="45">
        <f t="shared" ref="AW25:AX25" si="28">AW17+AW18+AW21+AW22-AW24</f>
        <v>62.856649928625373</v>
      </c>
      <c r="AX25" s="45">
        <f t="shared" si="28"/>
        <v>62.856649928625373</v>
      </c>
      <c r="AY25" s="8"/>
    </row>
    <row r="26" spans="1:5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/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  <c r="AU26" s="9" t="s">
        <v>16</v>
      </c>
      <c r="AV26" s="9" t="s">
        <v>16</v>
      </c>
      <c r="AW26" s="88" t="s">
        <v>16</v>
      </c>
      <c r="AX26" s="88" t="s">
        <v>16</v>
      </c>
      <c r="AY26" s="9"/>
    </row>
    <row r="27" spans="1:51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51"/>
      <c r="AX27" s="51"/>
      <c r="AY27" s="13"/>
    </row>
    <row r="28" spans="1:51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  <c r="AQ28" s="8">
        <v>4</v>
      </c>
      <c r="AR28" s="8">
        <v>2</v>
      </c>
      <c r="AS28" s="8">
        <v>1</v>
      </c>
      <c r="AT28" s="8">
        <v>4</v>
      </c>
      <c r="AU28" s="8">
        <v>2</v>
      </c>
      <c r="AV28" s="8">
        <v>1</v>
      </c>
      <c r="AW28" s="45">
        <v>4</v>
      </c>
      <c r="AX28" s="45">
        <v>2</v>
      </c>
      <c r="AY28" s="8"/>
    </row>
    <row r="29" spans="1:51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  <c r="AQ29" s="8">
        <v>4</v>
      </c>
      <c r="AR29" s="8">
        <v>2</v>
      </c>
      <c r="AS29" s="8">
        <v>1</v>
      </c>
      <c r="AT29" s="8">
        <v>4</v>
      </c>
      <c r="AU29" s="8">
        <v>2</v>
      </c>
      <c r="AV29" s="8">
        <v>1</v>
      </c>
      <c r="AW29" s="45">
        <v>4</v>
      </c>
      <c r="AX29" s="45">
        <v>2</v>
      </c>
      <c r="AY29" s="8"/>
    </row>
    <row r="30" spans="1:51" ht="41.4">
      <c r="A30" s="7" t="s">
        <v>56</v>
      </c>
      <c r="B30" s="12">
        <f t="shared" ref="B30:I30" si="29">B31+10*LOG10(B28/B29)-B32</f>
        <v>0</v>
      </c>
      <c r="C30" s="12">
        <f t="shared" si="29"/>
        <v>-3</v>
      </c>
      <c r="D30" s="12">
        <f t="shared" si="29"/>
        <v>-3</v>
      </c>
      <c r="E30" s="12">
        <f t="shared" si="29"/>
        <v>0</v>
      </c>
      <c r="F30" s="12">
        <f t="shared" si="29"/>
        <v>-3</v>
      </c>
      <c r="G30" s="71">
        <f t="shared" si="29"/>
        <v>0</v>
      </c>
      <c r="H30" s="71">
        <f t="shared" si="29"/>
        <v>-3</v>
      </c>
      <c r="I30" s="71">
        <f t="shared" si="29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30">M31+10*LOG10(M28/M29)-M32</f>
        <v>0</v>
      </c>
      <c r="N30" s="12">
        <f t="shared" si="30"/>
        <v>-3</v>
      </c>
      <c r="O30" s="12">
        <f t="shared" si="30"/>
        <v>-3</v>
      </c>
      <c r="P30" s="12">
        <f t="shared" ref="P30:U30" si="31">P31+10*LOG10(P28/P29)-P32</f>
        <v>0</v>
      </c>
      <c r="Q30" s="12">
        <f t="shared" si="31"/>
        <v>-3</v>
      </c>
      <c r="R30" s="12">
        <f t="shared" si="31"/>
        <v>-3</v>
      </c>
      <c r="S30" s="8">
        <f t="shared" si="31"/>
        <v>0</v>
      </c>
      <c r="T30" s="8">
        <f t="shared" si="31"/>
        <v>-3</v>
      </c>
      <c r="U30" s="8">
        <f t="shared" si="31"/>
        <v>-3</v>
      </c>
      <c r="V30" s="8">
        <f t="shared" ref="V30:AA30" si="32">V31+10*LOG10(V28/V29)-V32</f>
        <v>0</v>
      </c>
      <c r="W30" s="8">
        <f t="shared" si="32"/>
        <v>-3</v>
      </c>
      <c r="X30" s="8">
        <f t="shared" si="32"/>
        <v>-3</v>
      </c>
      <c r="Y30" s="12">
        <f t="shared" si="32"/>
        <v>0</v>
      </c>
      <c r="Z30" s="12">
        <f t="shared" si="32"/>
        <v>-3</v>
      </c>
      <c r="AA30" s="12">
        <f t="shared" si="32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33">AE31+10*LOG10(AE28/AE29)-AE32</f>
        <v>0</v>
      </c>
      <c r="AF30" s="12">
        <f t="shared" si="33"/>
        <v>-3</v>
      </c>
      <c r="AG30" s="12">
        <f t="shared" si="33"/>
        <v>-3</v>
      </c>
      <c r="AH30" s="12">
        <f t="shared" si="33"/>
        <v>0</v>
      </c>
      <c r="AI30" s="12">
        <f t="shared" si="33"/>
        <v>-3</v>
      </c>
      <c r="AJ30" s="12">
        <f t="shared" si="33"/>
        <v>-3</v>
      </c>
      <c r="AK30" s="8">
        <f t="shared" si="33"/>
        <v>0</v>
      </c>
      <c r="AL30" s="8">
        <f t="shared" si="33"/>
        <v>-3</v>
      </c>
      <c r="AM30" s="8">
        <f t="shared" si="33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S30" si="34">AQ31+10*LOG10(AQ28/AQ29)-AQ32</f>
        <v>0</v>
      </c>
      <c r="AR30" s="8">
        <f t="shared" si="34"/>
        <v>-3</v>
      </c>
      <c r="AS30" s="8">
        <f t="shared" si="34"/>
        <v>-3</v>
      </c>
      <c r="AT30" s="8">
        <f>AT31+10*LOG10(AT28/AT29)-AT32</f>
        <v>0</v>
      </c>
      <c r="AU30" s="8">
        <f>AU31+10*LOG10(AU28/AU29)-AU32</f>
        <v>-3</v>
      </c>
      <c r="AV30" s="8">
        <f>AV31+10*LOG10(AV28/AV29)-AV32</f>
        <v>-3</v>
      </c>
      <c r="AW30" s="45">
        <f t="shared" ref="AW30:AX30" si="35">AW31+10*LOG10(AW28/AW29)-AW32</f>
        <v>0</v>
      </c>
      <c r="AX30" s="45">
        <f t="shared" si="35"/>
        <v>-3</v>
      </c>
      <c r="AY30" s="8"/>
    </row>
    <row r="31" spans="1:5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8">
        <v>0</v>
      </c>
      <c r="AU31" s="8">
        <v>-3</v>
      </c>
      <c r="AV31" s="8">
        <v>-3</v>
      </c>
      <c r="AW31" s="45">
        <v>0</v>
      </c>
      <c r="AX31" s="45">
        <v>-3</v>
      </c>
      <c r="AY31" s="8"/>
    </row>
    <row r="32" spans="1:51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45">
        <v>0</v>
      </c>
      <c r="AX32" s="45">
        <v>0</v>
      </c>
      <c r="AY32" s="8"/>
    </row>
    <row r="33" spans="1:51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45">
        <v>0</v>
      </c>
      <c r="AX33" s="45">
        <v>0</v>
      </c>
      <c r="AY33" s="8"/>
    </row>
    <row r="34" spans="1:51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45">
        <v>1</v>
      </c>
      <c r="AX34" s="45">
        <v>1</v>
      </c>
      <c r="AY34" s="8"/>
    </row>
    <row r="35" spans="1:5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45">
        <v>7</v>
      </c>
      <c r="AX35" s="45">
        <v>7</v>
      </c>
      <c r="AY35" s="8"/>
    </row>
    <row r="36" spans="1:5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45">
        <v>-174</v>
      </c>
      <c r="AX36" s="45">
        <v>-174</v>
      </c>
      <c r="AY36" s="8"/>
    </row>
    <row r="37" spans="1:51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  <c r="AB37" s="82">
        <v>-169.3</v>
      </c>
      <c r="AC37" s="82">
        <v>-169.3</v>
      </c>
      <c r="AD37" s="82"/>
      <c r="AE37" s="82">
        <v>-169.3</v>
      </c>
      <c r="AF37" s="82">
        <v>-169.3</v>
      </c>
      <c r="AG37" s="82">
        <v>-169.3</v>
      </c>
      <c r="AH37" s="82">
        <v>-999</v>
      </c>
      <c r="AI37" s="82">
        <v>-999</v>
      </c>
      <c r="AJ37" s="82">
        <v>-999</v>
      </c>
      <c r="AK37" s="82">
        <v>-169.3</v>
      </c>
      <c r="AL37" s="82">
        <v>-169.3</v>
      </c>
      <c r="AM37" s="82">
        <v>-169.3</v>
      </c>
      <c r="AN37" s="82">
        <v>-999</v>
      </c>
      <c r="AO37" s="82">
        <v>-999</v>
      </c>
      <c r="AP37" s="82">
        <v>-999</v>
      </c>
      <c r="AQ37" s="82">
        <v>-999</v>
      </c>
      <c r="AR37" s="82">
        <v>-999</v>
      </c>
      <c r="AS37" s="82">
        <v>-999</v>
      </c>
      <c r="AT37" s="82">
        <v>-164.99</v>
      </c>
      <c r="AU37" s="82">
        <v>-164.99</v>
      </c>
      <c r="AV37" s="82">
        <v>-164.99</v>
      </c>
      <c r="AW37" s="83">
        <v>-999</v>
      </c>
      <c r="AX37" s="83">
        <v>-999</v>
      </c>
      <c r="AY37" s="82"/>
    </row>
    <row r="38" spans="1:51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/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8" t="s">
        <v>16</v>
      </c>
      <c r="AV38" s="8" t="s">
        <v>16</v>
      </c>
      <c r="AW38" s="45" t="s">
        <v>16</v>
      </c>
      <c r="AX38" s="45" t="s">
        <v>16</v>
      </c>
      <c r="AY38" s="8"/>
    </row>
    <row r="39" spans="1:51" ht="27.6">
      <c r="A39" s="7" t="s">
        <v>106</v>
      </c>
      <c r="B39" s="12">
        <f t="shared" ref="B39:I39" si="36">10*LOG10(10^((B35+B36)/10)+10^(B37/10))</f>
        <v>-167.00000000000003</v>
      </c>
      <c r="C39" s="12">
        <f t="shared" si="36"/>
        <v>-167.00000000000003</v>
      </c>
      <c r="D39" s="12">
        <f t="shared" si="36"/>
        <v>-167.00000000000003</v>
      </c>
      <c r="E39" s="12">
        <f t="shared" si="36"/>
        <v>-167.00000000000003</v>
      </c>
      <c r="F39" s="12">
        <f t="shared" si="36"/>
        <v>-167.00000000000003</v>
      </c>
      <c r="G39" s="71">
        <f t="shared" si="36"/>
        <v>-167.00000000000003</v>
      </c>
      <c r="H39" s="71">
        <f t="shared" si="36"/>
        <v>-167.00000000000003</v>
      </c>
      <c r="I39" s="71">
        <f t="shared" si="36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37">10*LOG10(10^((M35+M36)/10)+10^(M37/10))</f>
        <v>-164.98918835931039</v>
      </c>
      <c r="N39" s="12">
        <f t="shared" si="37"/>
        <v>-164.98918835931039</v>
      </c>
      <c r="O39" s="12">
        <f t="shared" si="37"/>
        <v>-164.98918835931039</v>
      </c>
      <c r="P39" s="12">
        <f t="shared" ref="P39:U39" si="38">10*LOG10(10^((P35+P36)/10)+10^(P37/10))</f>
        <v>-167.00000000000003</v>
      </c>
      <c r="Q39" s="12">
        <f t="shared" si="38"/>
        <v>-167.00000000000003</v>
      </c>
      <c r="R39" s="12">
        <f t="shared" si="38"/>
        <v>-167.00000000000003</v>
      </c>
      <c r="S39" s="8">
        <f t="shared" si="38"/>
        <v>-167.00000000000003</v>
      </c>
      <c r="T39" s="8">
        <f t="shared" si="38"/>
        <v>-167.00000000000003</v>
      </c>
      <c r="U39" s="8">
        <f t="shared" si="38"/>
        <v>-167.00000000000003</v>
      </c>
      <c r="V39" s="8">
        <f t="shared" ref="V39:AA39" si="39">10*LOG10(10^((V35+V36)/10)+10^(V37/10))</f>
        <v>-164.98918835931039</v>
      </c>
      <c r="W39" s="8">
        <f t="shared" si="39"/>
        <v>-164.98918835931039</v>
      </c>
      <c r="X39" s="8">
        <f t="shared" si="39"/>
        <v>-164.98918835931039</v>
      </c>
      <c r="Y39" s="12">
        <f t="shared" si="39"/>
        <v>-167.00000000000003</v>
      </c>
      <c r="Z39" s="12">
        <f t="shared" si="39"/>
        <v>-167.00000000000003</v>
      </c>
      <c r="AA39" s="12">
        <f t="shared" si="39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/>
      <c r="AE39" s="12">
        <f t="shared" ref="AE39:AM39" si="40">10*LOG10(10^((AE35+AE36)/10)+10^(AE37/10))</f>
        <v>-164.98918835931039</v>
      </c>
      <c r="AF39" s="12">
        <f t="shared" si="40"/>
        <v>-164.98918835931039</v>
      </c>
      <c r="AG39" s="12">
        <f t="shared" si="40"/>
        <v>-164.98918835931039</v>
      </c>
      <c r="AH39" s="12">
        <f t="shared" si="40"/>
        <v>-167.00000000000003</v>
      </c>
      <c r="AI39" s="12">
        <f t="shared" si="40"/>
        <v>-167.00000000000003</v>
      </c>
      <c r="AJ39" s="12">
        <f t="shared" si="40"/>
        <v>-167.00000000000003</v>
      </c>
      <c r="AK39" s="8">
        <f t="shared" si="40"/>
        <v>-164.98918835931039</v>
      </c>
      <c r="AL39" s="8">
        <f t="shared" si="40"/>
        <v>-164.98918835931039</v>
      </c>
      <c r="AM39" s="8">
        <f t="shared" si="40"/>
        <v>-164.98918835931039</v>
      </c>
      <c r="AN39" s="8">
        <f>10*LOG10(10^((AN35+AN36)/10)+10^(AN37/10))</f>
        <v>-167.00000000000003</v>
      </c>
      <c r="AO39" s="8">
        <f>10*LOG10(10^((AO35+AO36)/10)+10^(AO37/10))</f>
        <v>-167.00000000000003</v>
      </c>
      <c r="AP39" s="8">
        <f>10*LOG10(10^((AP35+AP36)/10)+10^(AP37/10))</f>
        <v>-167.00000000000003</v>
      </c>
      <c r="AQ39" s="8">
        <f t="shared" ref="AQ39:AS39" si="41">10*LOG10(10^((AQ35+AQ36)/10)+10^(AQ37/10))</f>
        <v>-167.00000000000003</v>
      </c>
      <c r="AR39" s="8">
        <f t="shared" si="41"/>
        <v>-167.00000000000003</v>
      </c>
      <c r="AS39" s="8">
        <f t="shared" si="41"/>
        <v>-167.00000000000003</v>
      </c>
      <c r="AT39" s="8">
        <f>10*LOG10(10^((AT35+AT36)/10)+10^(AT37/10))</f>
        <v>-162.86943987346325</v>
      </c>
      <c r="AU39" s="8">
        <f>10*LOG10(10^((AU35+AU36)/10)+10^(AU37/10))</f>
        <v>-162.86943987346325</v>
      </c>
      <c r="AV39" s="8">
        <f>10*LOG10(10^((AV35+AV36)/10)+10^(AV37/10))</f>
        <v>-162.86943987346325</v>
      </c>
      <c r="AW39" s="45">
        <f t="shared" ref="AW39:AX39" si="42">10*LOG10(10^((AW35+AW36)/10)+10^(AW37/10))</f>
        <v>-167.00000000000003</v>
      </c>
      <c r="AX39" s="45">
        <f t="shared" si="42"/>
        <v>-167.00000000000003</v>
      </c>
      <c r="AY39" s="8"/>
    </row>
    <row r="40" spans="1:51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/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  <c r="AU40" s="9" t="s">
        <v>16</v>
      </c>
      <c r="AV40" s="9" t="s">
        <v>16</v>
      </c>
      <c r="AW40" s="88" t="s">
        <v>16</v>
      </c>
      <c r="AX40" s="88" t="s">
        <v>16</v>
      </c>
      <c r="AY40" s="9"/>
    </row>
    <row r="41" spans="1:51">
      <c r="A41" s="20" t="s">
        <v>68</v>
      </c>
      <c r="B41" s="12">
        <f t="shared" ref="B41:I41" si="43">48*360*1000</f>
        <v>17280000</v>
      </c>
      <c r="C41" s="12">
        <f t="shared" si="43"/>
        <v>17280000</v>
      </c>
      <c r="D41" s="12">
        <f t="shared" si="43"/>
        <v>17280000</v>
      </c>
      <c r="E41" s="12">
        <f t="shared" si="43"/>
        <v>17280000</v>
      </c>
      <c r="F41" s="12">
        <f t="shared" si="43"/>
        <v>17280000</v>
      </c>
      <c r="G41" s="71">
        <f t="shared" si="43"/>
        <v>17280000</v>
      </c>
      <c r="H41" s="71">
        <f t="shared" si="43"/>
        <v>17280000</v>
      </c>
      <c r="I41" s="71">
        <f t="shared" si="43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44">48*360*1000</f>
        <v>17280000</v>
      </c>
      <c r="N41" s="12">
        <f t="shared" si="44"/>
        <v>17280000</v>
      </c>
      <c r="O41" s="12">
        <f t="shared" si="44"/>
        <v>17280000</v>
      </c>
      <c r="P41" s="12">
        <f t="shared" ref="P41:U41" si="45">48*360*1000</f>
        <v>17280000</v>
      </c>
      <c r="Q41" s="12">
        <f t="shared" si="45"/>
        <v>17280000</v>
      </c>
      <c r="R41" s="12">
        <f t="shared" si="45"/>
        <v>17280000</v>
      </c>
      <c r="S41" s="8">
        <f t="shared" si="45"/>
        <v>17280000</v>
      </c>
      <c r="T41" s="8">
        <f t="shared" si="45"/>
        <v>17280000</v>
      </c>
      <c r="U41" s="8">
        <f t="shared" si="45"/>
        <v>17280000</v>
      </c>
      <c r="V41" s="8">
        <f t="shared" ref="V41:AA41" si="46">48*360*1000</f>
        <v>17280000</v>
      </c>
      <c r="W41" s="8">
        <f t="shared" si="46"/>
        <v>17280000</v>
      </c>
      <c r="X41" s="8">
        <f t="shared" si="46"/>
        <v>17280000</v>
      </c>
      <c r="Y41" s="12">
        <f t="shared" si="46"/>
        <v>17280000</v>
      </c>
      <c r="Z41" s="12">
        <f t="shared" si="46"/>
        <v>17280000</v>
      </c>
      <c r="AA41" s="12">
        <f t="shared" si="46"/>
        <v>17280000</v>
      </c>
      <c r="AB41" s="12">
        <f>48*360*1000</f>
        <v>17280000</v>
      </c>
      <c r="AC41" s="12">
        <f>48*360*1000</f>
        <v>17280000</v>
      </c>
      <c r="AD41" s="12"/>
      <c r="AE41" s="12">
        <f t="shared" ref="AE41:AM41" si="47">48*360*1000</f>
        <v>17280000</v>
      </c>
      <c r="AF41" s="12">
        <f t="shared" si="47"/>
        <v>17280000</v>
      </c>
      <c r="AG41" s="12">
        <f t="shared" si="47"/>
        <v>17280000</v>
      </c>
      <c r="AH41" s="12">
        <f t="shared" si="47"/>
        <v>17280000</v>
      </c>
      <c r="AI41" s="12">
        <f t="shared" si="47"/>
        <v>17280000</v>
      </c>
      <c r="AJ41" s="12">
        <f t="shared" si="47"/>
        <v>17280000</v>
      </c>
      <c r="AK41" s="8">
        <f t="shared" si="47"/>
        <v>17280000</v>
      </c>
      <c r="AL41" s="8">
        <f t="shared" si="47"/>
        <v>17280000</v>
      </c>
      <c r="AM41" s="8">
        <f t="shared" si="47"/>
        <v>17280000</v>
      </c>
      <c r="AN41" s="8">
        <f>48*360*1000</f>
        <v>17280000</v>
      </c>
      <c r="AO41" s="8">
        <f>48*360*1000</f>
        <v>17280000</v>
      </c>
      <c r="AP41" s="8">
        <f>48*360*1000</f>
        <v>17280000</v>
      </c>
      <c r="AQ41" s="8">
        <f t="shared" ref="AQ41:AS41" si="48">48*360*1000</f>
        <v>17280000</v>
      </c>
      <c r="AR41" s="8">
        <f t="shared" si="48"/>
        <v>17280000</v>
      </c>
      <c r="AS41" s="8">
        <f t="shared" si="48"/>
        <v>17280000</v>
      </c>
      <c r="AT41" s="8">
        <f>48*360*1000</f>
        <v>17280000</v>
      </c>
      <c r="AU41" s="8">
        <f>48*360*1000</f>
        <v>17280000</v>
      </c>
      <c r="AV41" s="8">
        <f>48*360*1000</f>
        <v>17280000</v>
      </c>
      <c r="AW41" s="45">
        <f t="shared" ref="AW41:AX41" si="49">48*360*1000</f>
        <v>17280000</v>
      </c>
      <c r="AX41" s="45">
        <f t="shared" si="49"/>
        <v>17280000</v>
      </c>
      <c r="AY41" s="8"/>
    </row>
    <row r="42" spans="1:51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/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8" t="s">
        <v>16</v>
      </c>
      <c r="AV42" s="8" t="s">
        <v>16</v>
      </c>
      <c r="AW42" s="45" t="s">
        <v>16</v>
      </c>
      <c r="AX42" s="45" t="s">
        <v>16</v>
      </c>
      <c r="AY42" s="8"/>
    </row>
    <row r="43" spans="1:51">
      <c r="A43" s="7" t="s">
        <v>71</v>
      </c>
      <c r="B43" s="12">
        <f t="shared" ref="B43:I43" si="50">B39+10*LOG10(B41)</f>
        <v>-94.624562618571289</v>
      </c>
      <c r="C43" s="12">
        <f t="shared" si="50"/>
        <v>-94.624562618571289</v>
      </c>
      <c r="D43" s="12">
        <f t="shared" si="50"/>
        <v>-94.624562618571289</v>
      </c>
      <c r="E43" s="12">
        <f t="shared" si="50"/>
        <v>-94.624562618571289</v>
      </c>
      <c r="F43" s="12">
        <f t="shared" si="50"/>
        <v>-94.624562618571289</v>
      </c>
      <c r="G43" s="71">
        <f t="shared" si="50"/>
        <v>-94.624562618571289</v>
      </c>
      <c r="H43" s="71">
        <f t="shared" si="50"/>
        <v>-94.624562618571289</v>
      </c>
      <c r="I43" s="71">
        <f t="shared" si="50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51">M39+10*LOG10(M41)</f>
        <v>-92.613750977881651</v>
      </c>
      <c r="N43" s="12">
        <f t="shared" si="51"/>
        <v>-92.613750977881651</v>
      </c>
      <c r="O43" s="12">
        <f t="shared" si="51"/>
        <v>-92.613750977881651</v>
      </c>
      <c r="P43" s="12">
        <f t="shared" ref="P43:U43" si="52">P39+10*LOG10(P41)</f>
        <v>-94.624562618571289</v>
      </c>
      <c r="Q43" s="12">
        <f t="shared" si="52"/>
        <v>-94.624562618571289</v>
      </c>
      <c r="R43" s="12">
        <f t="shared" si="52"/>
        <v>-94.624562618571289</v>
      </c>
      <c r="S43" s="8">
        <f t="shared" si="52"/>
        <v>-94.624562618571289</v>
      </c>
      <c r="T43" s="8">
        <f t="shared" si="52"/>
        <v>-94.624562618571289</v>
      </c>
      <c r="U43" s="8">
        <f t="shared" si="52"/>
        <v>-94.624562618571289</v>
      </c>
      <c r="V43" s="8">
        <f t="shared" ref="V43:AA43" si="53">V39+10*LOG10(V41)</f>
        <v>-92.613750977881651</v>
      </c>
      <c r="W43" s="8">
        <f t="shared" si="53"/>
        <v>-92.613750977881651</v>
      </c>
      <c r="X43" s="8">
        <f t="shared" si="53"/>
        <v>-92.613750977881651</v>
      </c>
      <c r="Y43" s="12">
        <f t="shared" si="53"/>
        <v>-94.624562618571289</v>
      </c>
      <c r="Z43" s="12">
        <f t="shared" si="53"/>
        <v>-94.624562618571289</v>
      </c>
      <c r="AA43" s="12">
        <f t="shared" si="53"/>
        <v>-94.624562618571289</v>
      </c>
      <c r="AB43" s="12">
        <f>AB39+10*LOG10(AB41)</f>
        <v>-92.613750977881651</v>
      </c>
      <c r="AC43" s="12">
        <f>AC39+10*LOG10(AC41)</f>
        <v>-92.613750977881651</v>
      </c>
      <c r="AD43" s="12"/>
      <c r="AE43" s="12">
        <f t="shared" ref="AE43:AM43" si="54">AE39+10*LOG10(AE41)</f>
        <v>-92.613750977881651</v>
      </c>
      <c r="AF43" s="12">
        <f t="shared" si="54"/>
        <v>-92.613750977881651</v>
      </c>
      <c r="AG43" s="12">
        <f t="shared" si="54"/>
        <v>-92.613750977881651</v>
      </c>
      <c r="AH43" s="12">
        <f t="shared" si="54"/>
        <v>-94.624562618571289</v>
      </c>
      <c r="AI43" s="12">
        <f t="shared" si="54"/>
        <v>-94.624562618571289</v>
      </c>
      <c r="AJ43" s="12">
        <f t="shared" si="54"/>
        <v>-94.624562618571289</v>
      </c>
      <c r="AK43" s="8">
        <f t="shared" si="54"/>
        <v>-92.613750977881651</v>
      </c>
      <c r="AL43" s="8">
        <f t="shared" si="54"/>
        <v>-92.613750977881651</v>
      </c>
      <c r="AM43" s="8">
        <f t="shared" si="54"/>
        <v>-92.613750977881651</v>
      </c>
      <c r="AN43" s="8">
        <f>AN39+10*LOG10(AN41)</f>
        <v>-94.624562618571289</v>
      </c>
      <c r="AO43" s="8">
        <f>AO39+10*LOG10(AO41)</f>
        <v>-94.624562618571289</v>
      </c>
      <c r="AP43" s="8">
        <f>AP39+10*LOG10(AP41)</f>
        <v>-94.624562618571289</v>
      </c>
      <c r="AQ43" s="8">
        <f t="shared" ref="AQ43:AS43" si="55">AQ39+10*LOG10(AQ41)</f>
        <v>-94.624562618571289</v>
      </c>
      <c r="AR43" s="8">
        <f t="shared" si="55"/>
        <v>-94.624562618571289</v>
      </c>
      <c r="AS43" s="8">
        <f t="shared" si="55"/>
        <v>-94.624562618571289</v>
      </c>
      <c r="AT43" s="8">
        <f>AT39+10*LOG10(AT41)</f>
        <v>-90.494002492034511</v>
      </c>
      <c r="AU43" s="8">
        <f>AU39+10*LOG10(AU41)</f>
        <v>-90.494002492034511</v>
      </c>
      <c r="AV43" s="8">
        <f>AV39+10*LOG10(AV41)</f>
        <v>-90.494002492034511</v>
      </c>
      <c r="AW43" s="45">
        <f t="shared" ref="AW43:AX43" si="56">AW39+10*LOG10(AW41)</f>
        <v>-94.624562618571289</v>
      </c>
      <c r="AX43" s="45">
        <f t="shared" si="56"/>
        <v>-94.624562618571289</v>
      </c>
      <c r="AY43" s="8"/>
    </row>
    <row r="44" spans="1:5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/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  <c r="AU44" s="9" t="s">
        <v>16</v>
      </c>
      <c r="AV44" s="9" t="s">
        <v>16</v>
      </c>
      <c r="AW44" s="88" t="s">
        <v>16</v>
      </c>
      <c r="AX44" s="88" t="s">
        <v>16</v>
      </c>
      <c r="AY44" s="9"/>
    </row>
    <row r="45" spans="1:51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  <c r="AB45" s="16">
        <v>-12</v>
      </c>
      <c r="AC45" s="16">
        <v>-9.4499999999999993</v>
      </c>
      <c r="AD45" s="16"/>
      <c r="AE45" s="16">
        <v>-11.23</v>
      </c>
      <c r="AF45" s="16">
        <v>-8.19</v>
      </c>
      <c r="AG45" s="16">
        <v>-5.1100000000000003</v>
      </c>
      <c r="AH45" s="16">
        <v>-10.199999999999999</v>
      </c>
      <c r="AI45" s="16">
        <v>-7.2</v>
      </c>
      <c r="AJ45" s="16">
        <v>-4.2</v>
      </c>
      <c r="AK45" s="16">
        <v>-11.7</v>
      </c>
      <c r="AL45" s="16">
        <v>-8.6</v>
      </c>
      <c r="AM45" s="16">
        <v>-5.2</v>
      </c>
      <c r="AN45" s="16">
        <v>-9.1999999999999993</v>
      </c>
      <c r="AO45" s="16">
        <v>-6</v>
      </c>
      <c r="AP45" s="16">
        <v>-3</v>
      </c>
      <c r="AQ45" s="16">
        <v>-9.6999999999999993</v>
      </c>
      <c r="AR45" s="16">
        <v>-7</v>
      </c>
      <c r="AS45" s="16">
        <v>-3.8</v>
      </c>
      <c r="AT45" s="16">
        <v>-11.7</v>
      </c>
      <c r="AU45" s="16">
        <v>-9.1999999999999993</v>
      </c>
      <c r="AV45" s="16">
        <v>-5.9</v>
      </c>
      <c r="AW45" s="52">
        <v>-11.2</v>
      </c>
      <c r="AX45" s="52">
        <v>-8.3000000000000007</v>
      </c>
      <c r="AY45" s="16"/>
    </row>
    <row r="46" spans="1:51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/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8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  <c r="AU46" s="8" t="s">
        <v>16</v>
      </c>
      <c r="AV46" s="8" t="s">
        <v>16</v>
      </c>
      <c r="AW46" s="45" t="s">
        <v>16</v>
      </c>
      <c r="AX46" s="45" t="s">
        <v>16</v>
      </c>
      <c r="AY46" s="8"/>
    </row>
    <row r="47" spans="1:5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45">
        <v>2</v>
      </c>
      <c r="AX47" s="45">
        <v>2</v>
      </c>
      <c r="AY47" s="8"/>
    </row>
    <row r="48" spans="1:51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45">
        <v>0</v>
      </c>
      <c r="AX48" s="45">
        <v>0</v>
      </c>
      <c r="AY48" s="8"/>
    </row>
    <row r="49" spans="1:5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/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  <c r="AU49" s="9" t="s">
        <v>16</v>
      </c>
      <c r="AV49" s="9" t="s">
        <v>16</v>
      </c>
      <c r="AW49" s="88" t="s">
        <v>16</v>
      </c>
      <c r="AX49" s="88" t="s">
        <v>16</v>
      </c>
      <c r="AY49" s="9"/>
    </row>
    <row r="50" spans="1:51" ht="27.6">
      <c r="A50" s="7" t="s">
        <v>80</v>
      </c>
      <c r="B50" s="12">
        <f t="shared" ref="B50:I50" si="57">B43+B45+B47-B48</f>
        <v>-103.72456261857128</v>
      </c>
      <c r="C50" s="12">
        <f t="shared" si="57"/>
        <v>-100.92456261857129</v>
      </c>
      <c r="D50" s="12">
        <f t="shared" si="57"/>
        <v>-97.424562618571287</v>
      </c>
      <c r="E50" s="12">
        <f t="shared" si="57"/>
        <v>-104.17456261857129</v>
      </c>
      <c r="F50" s="12">
        <f t="shared" si="57"/>
        <v>-98.01456261857129</v>
      </c>
      <c r="G50" s="71">
        <f t="shared" si="57"/>
        <v>-105.31456261857129</v>
      </c>
      <c r="H50" s="71">
        <f t="shared" si="57"/>
        <v>-102.00456261857128</v>
      </c>
      <c r="I50" s="71">
        <f t="shared" si="57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58">M43+M45+M47-M48</f>
        <v>-99.073750977881645</v>
      </c>
      <c r="N50" s="12">
        <f t="shared" si="58"/>
        <v>-96.393750977881652</v>
      </c>
      <c r="O50" s="12">
        <f t="shared" si="58"/>
        <v>-93.173750977881653</v>
      </c>
      <c r="P50" s="12">
        <f t="shared" ref="P50:U50" si="59">P43+P45+P47-P48</f>
        <v>-104.12456261857129</v>
      </c>
      <c r="Q50" s="12">
        <f t="shared" si="59"/>
        <v>-101.62456261857129</v>
      </c>
      <c r="R50" s="12">
        <f t="shared" si="59"/>
        <v>-98.474562618571284</v>
      </c>
      <c r="S50" s="8">
        <f t="shared" si="59"/>
        <v>-100.62456261857129</v>
      </c>
      <c r="T50" s="8">
        <f t="shared" si="59"/>
        <v>-97.824562618571292</v>
      </c>
      <c r="U50" s="8">
        <f t="shared" si="59"/>
        <v>-95.224562618571284</v>
      </c>
      <c r="V50" s="8">
        <f t="shared" ref="V50:AA50" si="60">V43+V45+V47-V48</f>
        <v>-99.113750977881651</v>
      </c>
      <c r="W50" s="8">
        <f t="shared" si="60"/>
        <v>-96.313750977881654</v>
      </c>
      <c r="X50" s="8">
        <f t="shared" si="60"/>
        <v>-92.313750977881654</v>
      </c>
      <c r="Y50" s="12">
        <f t="shared" si="60"/>
        <v>-103.49456261857129</v>
      </c>
      <c r="Z50" s="12">
        <f t="shared" si="60"/>
        <v>-100.68456261857129</v>
      </c>
      <c r="AA50" s="12">
        <f t="shared" si="60"/>
        <v>-97.254562618571285</v>
      </c>
      <c r="AB50" s="12">
        <f>AB43+AB45+AB47-AB48</f>
        <v>-102.61375097788165</v>
      </c>
      <c r="AC50" s="12">
        <f>AC43+AC45+AC47-AC48</f>
        <v>-100.06375097788165</v>
      </c>
      <c r="AD50" s="12"/>
      <c r="AE50" s="12">
        <f t="shared" ref="AE50:AM50" si="61">AE43+AE45+AE47-AE48</f>
        <v>-101.84375097788165</v>
      </c>
      <c r="AF50" s="12">
        <f t="shared" si="61"/>
        <v>-98.803750977881649</v>
      </c>
      <c r="AG50" s="12">
        <f t="shared" si="61"/>
        <v>-95.72375097788165</v>
      </c>
      <c r="AH50" s="12">
        <f t="shared" si="61"/>
        <v>-102.82456261857129</v>
      </c>
      <c r="AI50" s="12">
        <f t="shared" si="61"/>
        <v>-99.824562618571292</v>
      </c>
      <c r="AJ50" s="12">
        <f t="shared" si="61"/>
        <v>-96.824562618571292</v>
      </c>
      <c r="AK50" s="8">
        <f t="shared" si="61"/>
        <v>-102.31375097788165</v>
      </c>
      <c r="AL50" s="8">
        <f t="shared" si="61"/>
        <v>-99.213750977881645</v>
      </c>
      <c r="AM50" s="8">
        <f t="shared" si="61"/>
        <v>-95.813750977881654</v>
      </c>
      <c r="AN50" s="8">
        <f>AN43+AN45+AN47-AN48</f>
        <v>-101.82456261857129</v>
      </c>
      <c r="AO50" s="8">
        <f>AO43+AO45+AO47-AO48</f>
        <v>-98.624562618571289</v>
      </c>
      <c r="AP50" s="8">
        <f>AP43+AP45+AP47-AP48</f>
        <v>-95.624562618571289</v>
      </c>
      <c r="AQ50" s="8">
        <f t="shared" ref="AQ50:AS50" si="62">AQ43+AQ45+AQ47-AQ48</f>
        <v>-102.32456261857129</v>
      </c>
      <c r="AR50" s="8">
        <f t="shared" si="62"/>
        <v>-99.624562618571289</v>
      </c>
      <c r="AS50" s="8">
        <f t="shared" si="62"/>
        <v>-96.424562618571287</v>
      </c>
      <c r="AT50" s="8">
        <f>AT43+AT45+AT47-AT48</f>
        <v>-100.19400249203451</v>
      </c>
      <c r="AU50" s="8">
        <f>AU43+AU45+AU47-AU48</f>
        <v>-97.694002492034514</v>
      </c>
      <c r="AV50" s="8">
        <f>AV43+AV45+AV47-AV48</f>
        <v>-94.394002492034517</v>
      </c>
      <c r="AW50" s="45">
        <f t="shared" ref="AW50:AX50" si="63">AW43+AW45+AW47-AW48</f>
        <v>-103.82456261857129</v>
      </c>
      <c r="AX50" s="45">
        <f t="shared" si="63"/>
        <v>-100.92456261857129</v>
      </c>
      <c r="AY50" s="8"/>
    </row>
    <row r="51" spans="1:51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/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  <c r="AU51" s="9" t="s">
        <v>16</v>
      </c>
      <c r="AV51" s="9" t="s">
        <v>16</v>
      </c>
      <c r="AW51" s="88" t="s">
        <v>16</v>
      </c>
      <c r="AX51" s="88" t="s">
        <v>16</v>
      </c>
      <c r="AY51" s="9"/>
    </row>
    <row r="52" spans="1:51" ht="27.6">
      <c r="A52" s="21" t="s">
        <v>83</v>
      </c>
      <c r="B52" s="22">
        <f t="shared" ref="B52:G52" si="64">B25+B30+B33-B34-B50</f>
        <v>165.87121254719665</v>
      </c>
      <c r="C52" s="22">
        <f t="shared" si="64"/>
        <v>160.07121254719667</v>
      </c>
      <c r="D52" s="22">
        <f t="shared" si="64"/>
        <v>156.57121254719667</v>
      </c>
      <c r="E52" s="22">
        <f t="shared" si="64"/>
        <v>156.98121254719666</v>
      </c>
      <c r="F52" s="22">
        <f t="shared" si="64"/>
        <v>147.82121254719667</v>
      </c>
      <c r="G52" s="76">
        <f t="shared" si="64"/>
        <v>167.46121254719668</v>
      </c>
      <c r="H52" s="76">
        <f t="shared" ref="H52:I52" si="65">H25+H30+H33-H34-H50</f>
        <v>161.15121254719668</v>
      </c>
      <c r="I52" s="76">
        <f t="shared" si="65"/>
        <v>157.19121254719667</v>
      </c>
      <c r="J52" s="22">
        <f>J25+J30+J33-J34-J50</f>
        <v>164.66121254719667</v>
      </c>
      <c r="K52" s="22">
        <f t="shared" ref="K52:O52" si="66">K25+K30+K33-K34-K50</f>
        <v>159.17121254719666</v>
      </c>
      <c r="L52" s="22">
        <f t="shared" si="66"/>
        <v>155.47121254719667</v>
      </c>
      <c r="M52" s="22">
        <f t="shared" si="66"/>
        <v>157.62190068970608</v>
      </c>
      <c r="N52" s="22">
        <f t="shared" si="66"/>
        <v>151.94190068970607</v>
      </c>
      <c r="O52" s="22">
        <f t="shared" si="66"/>
        <v>148.7219006897061</v>
      </c>
      <c r="P52" s="22">
        <f>P25+P30+P33-P34-P50</f>
        <v>166.27121254719668</v>
      </c>
      <c r="Q52" s="22">
        <f t="shared" ref="Q52:R52" si="67">Q25+Q30+Q33-Q34-Q50</f>
        <v>160.77121254719668</v>
      </c>
      <c r="R52" s="22">
        <f t="shared" si="67"/>
        <v>157.62121254719665</v>
      </c>
      <c r="S52" s="22">
        <f>S25+S30+S33-S34-S50</f>
        <v>164.77121254719668</v>
      </c>
      <c r="T52" s="22">
        <f t="shared" ref="T52:U52" si="68">T25+T30+T33-T34-T50</f>
        <v>158.97121254719667</v>
      </c>
      <c r="U52" s="22">
        <f t="shared" si="68"/>
        <v>156.37121254719665</v>
      </c>
      <c r="V52" s="22">
        <f>V25+V30+V33-V34-V50</f>
        <v>168.31040090650703</v>
      </c>
      <c r="W52" s="22">
        <f t="shared" ref="W52:X52" si="69">W25+W30+W33-W34-W50</f>
        <v>162.51040090650702</v>
      </c>
      <c r="X52" s="22">
        <f t="shared" si="69"/>
        <v>158.51040090650702</v>
      </c>
      <c r="Y52" s="22">
        <f>Y25+Y30+Y33-Y34-Y50</f>
        <v>165.64121254719669</v>
      </c>
      <c r="Z52" s="22">
        <f t="shared" ref="Z52:AA52" si="70">Z25+Z30+Z33-Z34-Z50</f>
        <v>159.83121254719669</v>
      </c>
      <c r="AA52" s="22">
        <f t="shared" si="70"/>
        <v>156.40121254719668</v>
      </c>
      <c r="AB52" s="22">
        <f>AB25+AB30+AB33-AB34-AB50</f>
        <v>162.76040090650702</v>
      </c>
      <c r="AC52" s="22">
        <f t="shared" ref="AC52" si="71">AC25+AC30+AC33-AC34-AC50</f>
        <v>157.21040090650703</v>
      </c>
      <c r="AD52" s="22"/>
      <c r="AE52" s="22">
        <f>AE25+AE30+AE33-AE34-AE50</f>
        <v>163.99040090650703</v>
      </c>
      <c r="AF52" s="22">
        <f t="shared" ref="AF52:AG52" si="72">AF25+AF30+AF33-AF34-AF50</f>
        <v>157.95040090650701</v>
      </c>
      <c r="AG52" s="22">
        <f t="shared" si="72"/>
        <v>154.87040090650703</v>
      </c>
      <c r="AH52" s="22">
        <f>AH25+AH30+AH33-AH34-AH50</f>
        <v>164.97121254719667</v>
      </c>
      <c r="AI52" s="22">
        <f t="shared" ref="AI52:AJ52" si="73">AI25+AI30+AI33-AI34-AI50</f>
        <v>158.97121254719667</v>
      </c>
      <c r="AJ52" s="22">
        <f t="shared" si="73"/>
        <v>155.97121254719667</v>
      </c>
      <c r="AK52" s="22">
        <f>AK25+AK30+AK33-AK34-AK50</f>
        <v>160.46040090650703</v>
      </c>
      <c r="AL52" s="22">
        <f t="shared" ref="AL52:AM52" si="74">AL25+AL30+AL33-AL34-AL50</f>
        <v>154.36040090650701</v>
      </c>
      <c r="AM52" s="22">
        <f t="shared" si="74"/>
        <v>150.96040090650703</v>
      </c>
      <c r="AN52" s="22">
        <f>AN25+AN30+AN33-AN34-AN50</f>
        <v>161.97121254719667</v>
      </c>
      <c r="AO52" s="22">
        <f t="shared" ref="AO52:AP52" si="75">AO25+AO30+AO33-AO34-AO50</f>
        <v>155.77121254719668</v>
      </c>
      <c r="AP52" s="22">
        <f t="shared" si="75"/>
        <v>152.77121254719668</v>
      </c>
      <c r="AQ52" s="22">
        <f>AQ25+AQ30+AQ33-AQ34-AQ50</f>
        <v>168.47121254719667</v>
      </c>
      <c r="AR52" s="22">
        <f t="shared" ref="AR52:AS52" si="76">AR25+AR30+AR33-AR34-AR50</f>
        <v>162.77121254719668</v>
      </c>
      <c r="AS52" s="22">
        <f t="shared" si="76"/>
        <v>159.57121254719667</v>
      </c>
      <c r="AT52" s="22">
        <f>AT25+AT30+AT33-AT34-AT50</f>
        <v>161.34065242065989</v>
      </c>
      <c r="AU52" s="22">
        <f>AU25+AU30+AU33-AU34-AU50</f>
        <v>155.84065242065989</v>
      </c>
      <c r="AV52" s="22">
        <f>AV25+AV30+AV33-AV34-AV50</f>
        <v>152.54065242065991</v>
      </c>
      <c r="AW52" s="58">
        <f>AW25+AW30+AW33-AW34-AW50</f>
        <v>165.68121254719665</v>
      </c>
      <c r="AX52" s="58">
        <f t="shared" ref="AX52" si="77">AX25+AX30+AX33-AX34-AX50</f>
        <v>159.78121254719667</v>
      </c>
      <c r="AY52" s="22"/>
    </row>
    <row r="53" spans="1:51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/>
      <c r="AE53" s="24" t="s">
        <v>16</v>
      </c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85" t="s">
        <v>16</v>
      </c>
      <c r="AL53" s="85" t="s">
        <v>16</v>
      </c>
      <c r="AM53" s="85" t="s">
        <v>16</v>
      </c>
      <c r="AN53" s="85" t="s">
        <v>16</v>
      </c>
      <c r="AO53" s="85" t="s">
        <v>16</v>
      </c>
      <c r="AP53" s="85" t="s">
        <v>16</v>
      </c>
      <c r="AQ53" s="85" t="s">
        <v>16</v>
      </c>
      <c r="AR53" s="85" t="s">
        <v>16</v>
      </c>
      <c r="AS53" s="85" t="s">
        <v>16</v>
      </c>
      <c r="AT53" s="85" t="s">
        <v>16</v>
      </c>
      <c r="AU53" s="85" t="s">
        <v>16</v>
      </c>
      <c r="AV53" s="85" t="s">
        <v>16</v>
      </c>
      <c r="AW53" s="89" t="s">
        <v>16</v>
      </c>
      <c r="AX53" s="89" t="s">
        <v>16</v>
      </c>
      <c r="AY53" s="85"/>
    </row>
    <row r="54" spans="1:51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51"/>
      <c r="AX54" s="51"/>
      <c r="AY54" s="13"/>
    </row>
    <row r="55" spans="1:5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  <c r="AU55" s="82">
        <v>7</v>
      </c>
      <c r="AV55" s="82">
        <v>7</v>
      </c>
      <c r="AW55" s="83">
        <v>7</v>
      </c>
      <c r="AX55" s="83">
        <v>7</v>
      </c>
      <c r="AY55" s="82"/>
    </row>
    <row r="56" spans="1:51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2"/>
      <c r="AE56" s="82">
        <v>7.56</v>
      </c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  <c r="AQ56" s="82">
        <v>7.56</v>
      </c>
      <c r="AR56" s="82">
        <v>7.56</v>
      </c>
      <c r="AS56" s="82">
        <v>7.56</v>
      </c>
      <c r="AT56" s="82">
        <v>7.56</v>
      </c>
      <c r="AU56" s="82">
        <v>7.56</v>
      </c>
      <c r="AV56" s="82">
        <v>7.56</v>
      </c>
      <c r="AW56" s="83">
        <v>7.56</v>
      </c>
      <c r="AX56" s="83">
        <v>7.56</v>
      </c>
      <c r="AY56" s="82"/>
    </row>
    <row r="57" spans="1:51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/>
      <c r="AE57" s="25" t="s">
        <v>16</v>
      </c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9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  <c r="AU57" s="9" t="s">
        <v>16</v>
      </c>
      <c r="AV57" s="9" t="s">
        <v>16</v>
      </c>
      <c r="AW57" s="88" t="s">
        <v>16</v>
      </c>
      <c r="AX57" s="88" t="s">
        <v>16</v>
      </c>
      <c r="AY57" s="9"/>
    </row>
    <row r="58" spans="1:5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82">
        <v>0</v>
      </c>
      <c r="AV58" s="82">
        <v>0</v>
      </c>
      <c r="AW58" s="83">
        <v>0</v>
      </c>
      <c r="AX58" s="83">
        <v>0</v>
      </c>
      <c r="AY58" s="82"/>
    </row>
    <row r="59" spans="1:5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  <c r="AU59" s="82">
        <v>26.25</v>
      </c>
      <c r="AV59" s="82">
        <v>26.25</v>
      </c>
      <c r="AW59" s="83">
        <v>26.25</v>
      </c>
      <c r="AX59" s="83">
        <v>26.25</v>
      </c>
      <c r="AY59" s="82"/>
    </row>
    <row r="60" spans="1:5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  <c r="AU60" s="82">
        <v>0</v>
      </c>
      <c r="AV60" s="82">
        <v>0</v>
      </c>
      <c r="AW60" s="83">
        <v>0</v>
      </c>
      <c r="AX60" s="83">
        <v>0</v>
      </c>
      <c r="AY60" s="82"/>
    </row>
    <row r="61" spans="1:51" ht="27.6">
      <c r="A61" s="21" t="s">
        <v>108</v>
      </c>
      <c r="B61" s="22">
        <f t="shared" ref="B61:G61" si="78">B52-B56+B58-B59+B60</f>
        <v>132.06121254719665</v>
      </c>
      <c r="C61" s="22">
        <f t="shared" si="78"/>
        <v>126.26121254719666</v>
      </c>
      <c r="D61" s="22">
        <f t="shared" si="78"/>
        <v>122.76121254719666</v>
      </c>
      <c r="E61" s="22">
        <f t="shared" si="78"/>
        <v>123.17121254719666</v>
      </c>
      <c r="F61" s="22">
        <f t="shared" si="78"/>
        <v>114.01121254719666</v>
      </c>
      <c r="G61" s="76">
        <f t="shared" si="78"/>
        <v>133.65121254719668</v>
      </c>
      <c r="H61" s="76">
        <f t="shared" ref="H61:I61" si="79">H52-H56+H58-H59+H60</f>
        <v>127.34121254719668</v>
      </c>
      <c r="I61" s="76">
        <f t="shared" si="79"/>
        <v>123.38121254719667</v>
      </c>
      <c r="J61" s="22">
        <f>J52-J56+J58-J59+J60</f>
        <v>130.85121254719667</v>
      </c>
      <c r="K61" s="22">
        <f t="shared" ref="K61:O61" si="80">K52-K56+K58-K59+K60</f>
        <v>125.36121254719666</v>
      </c>
      <c r="L61" s="22">
        <f t="shared" si="80"/>
        <v>121.66121254719667</v>
      </c>
      <c r="M61" s="22">
        <f t="shared" si="80"/>
        <v>123.81190068970608</v>
      </c>
      <c r="N61" s="22">
        <f t="shared" si="80"/>
        <v>118.13190068970607</v>
      </c>
      <c r="O61" s="22">
        <f t="shared" si="80"/>
        <v>114.9119006897061</v>
      </c>
      <c r="P61" s="22">
        <f>P52-P56+P58-P59+P60</f>
        <v>132.46121254719668</v>
      </c>
      <c r="Q61" s="22">
        <f t="shared" ref="Q61:R61" si="81">Q52-Q56+Q58-Q59+Q60</f>
        <v>126.96121254719668</v>
      </c>
      <c r="R61" s="22">
        <f t="shared" si="81"/>
        <v>123.81121254719665</v>
      </c>
      <c r="S61" s="22">
        <f>S52-S56+S58-S59+S60</f>
        <v>130.96121254719668</v>
      </c>
      <c r="T61" s="22">
        <f t="shared" ref="T61:U61" si="82">T52-T56+T58-T59+T60</f>
        <v>125.16121254719667</v>
      </c>
      <c r="U61" s="22">
        <f t="shared" si="82"/>
        <v>122.56121254719665</v>
      </c>
      <c r="V61" s="22">
        <f>V52-V56+V58-V59+V60</f>
        <v>134.48040090650701</v>
      </c>
      <c r="W61" s="22">
        <f t="shared" ref="W61:X61" si="83">W52-W56+W58-W59+W60</f>
        <v>128.680400906507</v>
      </c>
      <c r="X61" s="22">
        <f t="shared" si="83"/>
        <v>124.680400906507</v>
      </c>
      <c r="Y61" s="22">
        <f>Y52-Y56+Y58-Y59+Y60</f>
        <v>131.83121254719669</v>
      </c>
      <c r="Z61" s="22">
        <f t="shared" ref="Z61:AA61" si="84">Z52-Z56+Z58-Z59+Z60</f>
        <v>126.02121254719668</v>
      </c>
      <c r="AA61" s="22">
        <f t="shared" si="84"/>
        <v>122.59121254719668</v>
      </c>
      <c r="AB61" s="22">
        <f>AB52-AB56+AB58-AB59+AB60</f>
        <v>128.95040090650701</v>
      </c>
      <c r="AC61" s="22">
        <f t="shared" ref="AC61" si="85">AC52-AC56+AC58-AC59+AC60</f>
        <v>123.40040090650703</v>
      </c>
      <c r="AD61" s="22"/>
      <c r="AE61" s="22">
        <f>AE52-AE56+AE58-AE59+AE60</f>
        <v>133.18040090650703</v>
      </c>
      <c r="AF61" s="22">
        <f t="shared" ref="AF61:AG61" si="86">AF52-AF56+AF58-AF59+AF60</f>
        <v>127.14040090650701</v>
      </c>
      <c r="AG61" s="22">
        <f t="shared" si="86"/>
        <v>124.06040090650703</v>
      </c>
      <c r="AH61" s="22">
        <f>AH52-AH56+AH58-AH59+AH60</f>
        <v>131.16121254719667</v>
      </c>
      <c r="AI61" s="22">
        <f t="shared" ref="AI61:AJ61" si="87">AI52-AI56+AI58-AI59+AI60</f>
        <v>125.16121254719667</v>
      </c>
      <c r="AJ61" s="22">
        <f t="shared" si="87"/>
        <v>122.16121254719667</v>
      </c>
      <c r="AK61" s="22">
        <f>AK52-AK56+AK58-AK59+AK60</f>
        <v>126.65040090650703</v>
      </c>
      <c r="AL61" s="22">
        <f t="shared" ref="AL61:AM61" si="88">AL52-AL56+AL58-AL59+AL60</f>
        <v>120.55040090650701</v>
      </c>
      <c r="AM61" s="22">
        <f t="shared" si="88"/>
        <v>117.15040090650703</v>
      </c>
      <c r="AN61" s="22">
        <f>AN52-AN56+AN58-AN59+AN60</f>
        <v>128.16121254719667</v>
      </c>
      <c r="AO61" s="22">
        <f t="shared" ref="AO61:AP61" si="89">AO52-AO56+AO58-AO59+AO60</f>
        <v>121.96121254719668</v>
      </c>
      <c r="AP61" s="22">
        <f t="shared" si="89"/>
        <v>118.96121254719668</v>
      </c>
      <c r="AQ61" s="22">
        <f>AQ52-AQ56+AQ58-AQ59+AQ60</f>
        <v>134.66121254719667</v>
      </c>
      <c r="AR61" s="22">
        <f t="shared" ref="AR61:AS61" si="90">AR52-AR56+AR58-AR59+AR60</f>
        <v>128.96121254719668</v>
      </c>
      <c r="AS61" s="22">
        <f t="shared" si="90"/>
        <v>125.76121254719666</v>
      </c>
      <c r="AT61" s="22">
        <f>AT52-AT56+AT58-AT59+AT60</f>
        <v>127.53065242065989</v>
      </c>
      <c r="AU61" s="22">
        <f>AU52-AU56+AU58-AU59+AU60</f>
        <v>122.03065242065989</v>
      </c>
      <c r="AV61" s="22">
        <f>AV52-AV56+AV58-AV59+AV60</f>
        <v>118.73065242065991</v>
      </c>
      <c r="AW61" s="58">
        <f>AW52-AW56+AW58-AW59+AW60</f>
        <v>131.87121254719665</v>
      </c>
      <c r="AX61" s="58">
        <f t="shared" ref="AX61" si="91">AX52-AX56+AX58-AX59+AX60</f>
        <v>125.97121254719667</v>
      </c>
      <c r="AY61" s="22"/>
    </row>
    <row r="62" spans="1:51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/>
      <c r="AE62" s="24" t="s">
        <v>16</v>
      </c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85" t="s">
        <v>16</v>
      </c>
      <c r="AL62" s="85" t="s">
        <v>16</v>
      </c>
      <c r="AM62" s="85" t="s">
        <v>16</v>
      </c>
      <c r="AN62" s="85" t="s">
        <v>16</v>
      </c>
      <c r="AO62" s="85" t="s">
        <v>16</v>
      </c>
      <c r="AP62" s="85" t="s">
        <v>16</v>
      </c>
      <c r="AQ62" s="85" t="s">
        <v>16</v>
      </c>
      <c r="AR62" s="85" t="s">
        <v>16</v>
      </c>
      <c r="AS62" s="85" t="s">
        <v>16</v>
      </c>
      <c r="AT62" s="85" t="s">
        <v>16</v>
      </c>
      <c r="AU62" s="85" t="s">
        <v>16</v>
      </c>
      <c r="AV62" s="85" t="s">
        <v>16</v>
      </c>
      <c r="AW62" s="89" t="s">
        <v>16</v>
      </c>
      <c r="AX62" s="89" t="s">
        <v>16</v>
      </c>
      <c r="AY62" s="85"/>
    </row>
    <row r="63" spans="1:51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Q63" s="2"/>
      <c r="AR63" s="2"/>
      <c r="AS63" s="2"/>
      <c r="AU63" s="2"/>
      <c r="AV63" s="2"/>
      <c r="AX63" s="90"/>
      <c r="AY63" s="2"/>
    </row>
    <row r="64" spans="1:51">
      <c r="A64" s="21" t="s">
        <v>97</v>
      </c>
      <c r="B64" s="22">
        <f t="shared" ref="B64:I64" si="92">B17+B22-B50+B21+B33</f>
        <v>157.10000000000002</v>
      </c>
      <c r="C64" s="22">
        <f t="shared" si="92"/>
        <v>154.30000000000004</v>
      </c>
      <c r="D64" s="22">
        <f t="shared" si="92"/>
        <v>150.80000000000004</v>
      </c>
      <c r="E64" s="22">
        <f t="shared" si="92"/>
        <v>151.16000000000005</v>
      </c>
      <c r="F64" s="22">
        <f t="shared" si="92"/>
        <v>145.00000000000006</v>
      </c>
      <c r="G64" s="76">
        <f t="shared" si="92"/>
        <v>158.69000000000003</v>
      </c>
      <c r="H64" s="76">
        <f t="shared" si="92"/>
        <v>155.38000000000002</v>
      </c>
      <c r="I64" s="76">
        <f t="shared" si="92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93">M17+M22-M50+M21+M33</f>
        <v>151.50068814250946</v>
      </c>
      <c r="N64" s="22">
        <f t="shared" si="93"/>
        <v>148.82068814250945</v>
      </c>
      <c r="O64" s="22">
        <f t="shared" si="93"/>
        <v>145.60068814250945</v>
      </c>
      <c r="P64" s="22">
        <f t="shared" ref="P64:U64" si="94">P17+P22-P50+P21+P33</f>
        <v>157.50000000000003</v>
      </c>
      <c r="Q64" s="22">
        <f t="shared" si="94"/>
        <v>155.00000000000003</v>
      </c>
      <c r="R64" s="22">
        <f t="shared" si="94"/>
        <v>151.85000000000002</v>
      </c>
      <c r="S64" s="22">
        <f t="shared" si="94"/>
        <v>156.00000000000003</v>
      </c>
      <c r="T64" s="22">
        <f t="shared" si="94"/>
        <v>153.20000000000005</v>
      </c>
      <c r="U64" s="22">
        <f t="shared" si="94"/>
        <v>150.60000000000002</v>
      </c>
      <c r="V64" s="22">
        <f t="shared" ref="V64:AA64" si="95">V17+V22-V50+V21+V33</f>
        <v>159.5391883593104</v>
      </c>
      <c r="W64" s="22">
        <f t="shared" si="95"/>
        <v>156.73918835931042</v>
      </c>
      <c r="X64" s="22">
        <f t="shared" si="95"/>
        <v>152.73918835931042</v>
      </c>
      <c r="Y64" s="22">
        <f t="shared" si="95"/>
        <v>156.87000000000003</v>
      </c>
      <c r="Z64" s="22">
        <f t="shared" si="95"/>
        <v>154.06000000000003</v>
      </c>
      <c r="AA64" s="22">
        <f t="shared" si="95"/>
        <v>150.63000000000002</v>
      </c>
      <c r="AB64" s="22">
        <f>AB17+AB22-AB50+AB21+AB33</f>
        <v>153.98918835931039</v>
      </c>
      <c r="AC64" s="22">
        <f>AC17+AC22-AC50+AC21+AC33</f>
        <v>151.43918835931041</v>
      </c>
      <c r="AD64" s="22"/>
      <c r="AE64" s="22">
        <f t="shared" ref="AE64:AM64" si="96">AE17+AE22-AE50+AE21+AE33</f>
        <v>155.21918835931041</v>
      </c>
      <c r="AF64" s="22">
        <f t="shared" si="96"/>
        <v>152.17918835931039</v>
      </c>
      <c r="AG64" s="22">
        <f t="shared" si="96"/>
        <v>149.0991883593104</v>
      </c>
      <c r="AH64" s="22">
        <f t="shared" si="96"/>
        <v>156.20000000000005</v>
      </c>
      <c r="AI64" s="22">
        <f t="shared" si="96"/>
        <v>153.20000000000005</v>
      </c>
      <c r="AJ64" s="22">
        <f t="shared" si="96"/>
        <v>150.20000000000005</v>
      </c>
      <c r="AK64" s="22">
        <f t="shared" si="96"/>
        <v>151.68918835931041</v>
      </c>
      <c r="AL64" s="22">
        <f t="shared" si="96"/>
        <v>148.58918835931038</v>
      </c>
      <c r="AM64" s="22">
        <f t="shared" si="96"/>
        <v>145.18918835931041</v>
      </c>
      <c r="AN64" s="22">
        <f>AN17+AN22-AN50+AN21+AN33</f>
        <v>153.20000000000005</v>
      </c>
      <c r="AO64" s="22">
        <f>AO17+AO22-AO50+AO21+AO33</f>
        <v>150.00000000000003</v>
      </c>
      <c r="AP64" s="22">
        <f>AP17+AP22-AP50+AP21+AP33</f>
        <v>147.00000000000003</v>
      </c>
      <c r="AQ64" s="22">
        <f t="shared" ref="AQ64:AS64" si="97">AQ17+AQ22-AQ50+AQ21+AQ33</f>
        <v>159.70000000000005</v>
      </c>
      <c r="AR64" s="22">
        <f t="shared" si="97"/>
        <v>157.00000000000003</v>
      </c>
      <c r="AS64" s="22">
        <f t="shared" si="97"/>
        <v>153.80000000000004</v>
      </c>
      <c r="AT64" s="22">
        <f>AT17+AT22-AT50+AT21+AT33</f>
        <v>152.56943987346327</v>
      </c>
      <c r="AU64" s="22">
        <f>AU17+AU22-AU50+AU21+AU33</f>
        <v>150.06943987346327</v>
      </c>
      <c r="AV64" s="22">
        <f>AV17+AV22-AV50+AV21+AV33</f>
        <v>146.76943987346326</v>
      </c>
      <c r="AW64" s="58">
        <f t="shared" ref="AW64:AX64" si="98">AW17+AW22-AW50+AW21+AW33</f>
        <v>161.20000000000005</v>
      </c>
      <c r="AX64" s="58">
        <f t="shared" si="98"/>
        <v>158.30000000000004</v>
      </c>
      <c r="AY64" s="22"/>
    </row>
    <row r="65" spans="1:51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/>
      <c r="AE65" s="24" t="s">
        <v>16</v>
      </c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85" t="s">
        <v>16</v>
      </c>
      <c r="AL65" s="85" t="s">
        <v>16</v>
      </c>
      <c r="AM65" s="85" t="s">
        <v>16</v>
      </c>
      <c r="AN65" s="85" t="s">
        <v>16</v>
      </c>
      <c r="AO65" s="85" t="s">
        <v>16</v>
      </c>
      <c r="AP65" s="85" t="s">
        <v>16</v>
      </c>
      <c r="AT65" s="85" t="s">
        <v>16</v>
      </c>
      <c r="AU65" s="85" t="s">
        <v>16</v>
      </c>
      <c r="AV65" s="85" t="s">
        <v>16</v>
      </c>
      <c r="AW65" s="89" t="s">
        <v>16</v>
      </c>
      <c r="AX65" s="89" t="s">
        <v>16</v>
      </c>
      <c r="AY65" s="85"/>
    </row>
  </sheetData>
  <mergeCells count="17">
    <mergeCell ref="AH1:AJ1"/>
    <mergeCell ref="AW1:AY1"/>
    <mergeCell ref="B1:D1"/>
    <mergeCell ref="E1:F1"/>
    <mergeCell ref="G1:I1"/>
    <mergeCell ref="J1:L1"/>
    <mergeCell ref="M1:O1"/>
    <mergeCell ref="P1:R1"/>
    <mergeCell ref="AE1:AG1"/>
    <mergeCell ref="AB1:AD1"/>
    <mergeCell ref="Y1:AA1"/>
    <mergeCell ref="V1:X1"/>
    <mergeCell ref="S1:U1"/>
    <mergeCell ref="AT1:AV1"/>
    <mergeCell ref="AQ1:AS1"/>
    <mergeCell ref="AN1:AP1"/>
    <mergeCell ref="AK1:A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PDSCH</vt:lpstr>
      <vt:lpstr>PDCCH USS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Maki Shotaro (眞木 翔太郎)</cp:lastModifiedBy>
  <cp:lastPrinted>2006-01-19T03:50:00Z</cp:lastPrinted>
  <dcterms:created xsi:type="dcterms:W3CDTF">2003-11-11T03:59:00Z</dcterms:created>
  <dcterms:modified xsi:type="dcterms:W3CDTF">2020-10-23T06:01:36Z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