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DD2E84C0-31C8-4CB1-BB81-AC87CAD451FD}" xr6:coauthVersionLast="45" xr6:coauthVersionMax="45" xr10:uidLastSave="{00000000-0000-0000-0000-000000000000}"/>
  <bookViews>
    <workbookView xWindow="-103" yWindow="-103" windowWidth="33120" windowHeight="18120" tabRatio="774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57" l="1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I44" i="56"/>
  <c r="I51" i="56" s="1"/>
  <c r="H44" i="56"/>
  <c r="H51" i="56" s="1"/>
  <c r="H65" i="56" s="1"/>
  <c r="J42" i="56"/>
  <c r="J44" i="56" s="1"/>
  <c r="J51" i="56" s="1"/>
  <c r="I42" i="56"/>
  <c r="H42" i="56"/>
  <c r="J40" i="56"/>
  <c r="I40" i="56"/>
  <c r="H40" i="56"/>
  <c r="J30" i="56"/>
  <c r="I30" i="56"/>
  <c r="H30" i="56"/>
  <c r="J18" i="56"/>
  <c r="I18" i="56"/>
  <c r="H18" i="56"/>
  <c r="H26" i="56" s="1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C51" i="53"/>
  <c r="AC44" i="53"/>
  <c r="AD42" i="53"/>
  <c r="AD17" i="53" s="1"/>
  <c r="AC42" i="53"/>
  <c r="AB42" i="53"/>
  <c r="AB17" i="53" s="1"/>
  <c r="AD40" i="53"/>
  <c r="AD44" i="53" s="1"/>
  <c r="AD51" i="53" s="1"/>
  <c r="AC40" i="53"/>
  <c r="AB40" i="53"/>
  <c r="AB44" i="53" s="1"/>
  <c r="AB51" i="53" s="1"/>
  <c r="AD30" i="53"/>
  <c r="AC30" i="53"/>
  <c r="AB30" i="53"/>
  <c r="AD18" i="53"/>
  <c r="AC18" i="53"/>
  <c r="AB18" i="53"/>
  <c r="AC17" i="53"/>
  <c r="AC65" i="53" s="1"/>
  <c r="AD16" i="53"/>
  <c r="AC16" i="53"/>
  <c r="AB16" i="53"/>
  <c r="AD42" i="52"/>
  <c r="AD44" i="52" s="1"/>
  <c r="AD51" i="52" s="1"/>
  <c r="AC42" i="52"/>
  <c r="AC44" i="52" s="1"/>
  <c r="AC51" i="52" s="1"/>
  <c r="AB42" i="52"/>
  <c r="AD40" i="52"/>
  <c r="AC40" i="52"/>
  <c r="AB40" i="52"/>
  <c r="AB44" i="52" s="1"/>
  <c r="AB51" i="52" s="1"/>
  <c r="AD30" i="52"/>
  <c r="AC30" i="52"/>
  <c r="AB30" i="52"/>
  <c r="AD18" i="52"/>
  <c r="AC18" i="52"/>
  <c r="AB18" i="52"/>
  <c r="AC17" i="52"/>
  <c r="AB17" i="52"/>
  <c r="AD16" i="52"/>
  <c r="AC16" i="52"/>
  <c r="AB16" i="52"/>
  <c r="AC43" i="51"/>
  <c r="AC50" i="51" s="1"/>
  <c r="AB43" i="51"/>
  <c r="AB50" i="51" s="1"/>
  <c r="AD41" i="51"/>
  <c r="AD43" i="51" s="1"/>
  <c r="AD50" i="51" s="1"/>
  <c r="AC41" i="51"/>
  <c r="AB41" i="51"/>
  <c r="AD39" i="51"/>
  <c r="AC39" i="51"/>
  <c r="AB39" i="51"/>
  <c r="AD30" i="51"/>
  <c r="AC30" i="51"/>
  <c r="AB30" i="51"/>
  <c r="AD18" i="51"/>
  <c r="AC18" i="51"/>
  <c r="AB18" i="51"/>
  <c r="AB25" i="51" s="1"/>
  <c r="AB52" i="51" s="1"/>
  <c r="AB61" i="51" s="1"/>
  <c r="AC17" i="51"/>
  <c r="AC64" i="51" s="1"/>
  <c r="AB17" i="51"/>
  <c r="AB64" i="51" s="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C44" i="46"/>
  <c r="AC51" i="46" s="1"/>
  <c r="AB44" i="46"/>
  <c r="AB51" i="46" s="1"/>
  <c r="AD42" i="46"/>
  <c r="AD17" i="46" s="1"/>
  <c r="AC42" i="46"/>
  <c r="AB42" i="46"/>
  <c r="AD40" i="46"/>
  <c r="AD44" i="46" s="1"/>
  <c r="AD51" i="46" s="1"/>
  <c r="AC40" i="46"/>
  <c r="AB40" i="46"/>
  <c r="AD30" i="46"/>
  <c r="AC30" i="46"/>
  <c r="AB30" i="46"/>
  <c r="AD18" i="46"/>
  <c r="AC18" i="46"/>
  <c r="AB18" i="46"/>
  <c r="AB26" i="46" s="1"/>
  <c r="AB53" i="46" s="1"/>
  <c r="AB62" i="46" s="1"/>
  <c r="AC17" i="46"/>
  <c r="AC65" i="46" s="1"/>
  <c r="AB17" i="46"/>
  <c r="AB65" i="46" s="1"/>
  <c r="AD16" i="46"/>
  <c r="AC16" i="46"/>
  <c r="AB16" i="46"/>
  <c r="AB43" i="32"/>
  <c r="AB50" i="32" s="1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D30" i="32"/>
  <c r="AC30" i="32"/>
  <c r="AB30" i="32"/>
  <c r="AD18" i="32"/>
  <c r="AC18" i="32"/>
  <c r="AB18" i="32"/>
  <c r="AC17" i="32"/>
  <c r="AC64" i="32" s="1"/>
  <c r="AD16" i="32"/>
  <c r="AC16" i="32"/>
  <c r="AB16" i="32"/>
  <c r="H52" i="57" l="1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B65" i="52"/>
  <c r="AC65" i="52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E44" i="56"/>
  <c r="E51" i="56" s="1"/>
  <c r="G42" i="56"/>
  <c r="G17" i="56" s="1"/>
  <c r="F42" i="56"/>
  <c r="F17" i="56" s="1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AA44" i="53" s="1"/>
  <c r="AA51" i="53" s="1"/>
  <c r="Z40" i="53"/>
  <c r="Z44" i="53" s="1"/>
  <c r="Z51" i="53" s="1"/>
  <c r="Y40" i="53"/>
  <c r="AA30" i="53"/>
  <c r="Z30" i="53"/>
  <c r="Y30" i="53"/>
  <c r="AA18" i="53"/>
  <c r="Z18" i="53"/>
  <c r="Y18" i="53"/>
  <c r="AA16" i="53"/>
  <c r="Z16" i="53"/>
  <c r="Y16" i="53"/>
  <c r="AA44" i="52"/>
  <c r="AA51" i="52" s="1"/>
  <c r="AA42" i="52"/>
  <c r="AA17" i="52" s="1"/>
  <c r="Z42" i="52"/>
  <c r="Z17" i="52" s="1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Y17" i="52"/>
  <c r="AA16" i="52"/>
  <c r="Z16" i="52"/>
  <c r="Y16" i="52"/>
  <c r="Y43" i="51"/>
  <c r="Y50" i="51" s="1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Z64" i="51" s="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Y44" i="46"/>
  <c r="Y51" i="46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Z25" i="32" s="1"/>
  <c r="Y41" i="32"/>
  <c r="Y17" i="32" s="1"/>
  <c r="AA39" i="32"/>
  <c r="AA43" i="32" s="1"/>
  <c r="AA50" i="32" s="1"/>
  <c r="Z39" i="32"/>
  <c r="Y39" i="32"/>
  <c r="Y43" i="32" s="1"/>
  <c r="Y50" i="32" s="1"/>
  <c r="AA30" i="32"/>
  <c r="Z30" i="32"/>
  <c r="Y30" i="32"/>
  <c r="AA18" i="32"/>
  <c r="Z18" i="32"/>
  <c r="Y18" i="32"/>
  <c r="AA17" i="32"/>
  <c r="AA64" i="32" s="1"/>
  <c r="AA16" i="32"/>
  <c r="Z16" i="32"/>
  <c r="Y16" i="32"/>
  <c r="M43" i="48" l="1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65" i="53"/>
  <c r="Z26" i="53"/>
  <c r="Z53" i="53" s="1"/>
  <c r="Z62" i="53" s="1"/>
  <c r="Y65" i="53"/>
  <c r="AA65" i="53"/>
  <c r="AA26" i="53"/>
  <c r="AA53" i="53" s="1"/>
  <c r="AA62" i="53" s="1"/>
  <c r="Y26" i="53"/>
  <c r="Y53" i="53" s="1"/>
  <c r="Y62" i="53" s="1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Y52" i="32" s="1"/>
  <c r="Y61" i="32" s="1"/>
  <c r="AA25" i="32"/>
  <c r="AA52" i="32" s="1"/>
  <c r="AA61" i="32" s="1"/>
  <c r="M52" i="48" l="1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V44" i="53"/>
  <c r="V51" i="53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X44" i="52"/>
  <c r="X51" i="52" s="1"/>
  <c r="X65" i="52" s="1"/>
  <c r="W44" i="52"/>
  <c r="W51" i="52" s="1"/>
  <c r="W65" i="52" s="1"/>
  <c r="X42" i="52"/>
  <c r="W42" i="52"/>
  <c r="V42" i="52"/>
  <c r="V17" i="52" s="1"/>
  <c r="V26" i="52" s="1"/>
  <c r="X40" i="52"/>
  <c r="W40" i="52"/>
  <c r="V40" i="52"/>
  <c r="V44" i="52" s="1"/>
  <c r="V51" i="52" s="1"/>
  <c r="V65" i="52" s="1"/>
  <c r="X30" i="52"/>
  <c r="W30" i="52"/>
  <c r="V30" i="52"/>
  <c r="X18" i="52"/>
  <c r="X26" i="52" s="1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W25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V43" i="32"/>
  <c r="V50" i="32" s="1"/>
  <c r="X41" i="32"/>
  <c r="X43" i="32" s="1"/>
  <c r="X50" i="32" s="1"/>
  <c r="W41" i="32"/>
  <c r="W17" i="32" s="1"/>
  <c r="W25" i="32" s="1"/>
  <c r="V41" i="32"/>
  <c r="X39" i="32"/>
  <c r="W39" i="32"/>
  <c r="W43" i="32" s="1"/>
  <c r="W50" i="32" s="1"/>
  <c r="W64" i="32" s="1"/>
  <c r="V39" i="32"/>
  <c r="X30" i="32"/>
  <c r="W30" i="32"/>
  <c r="V30" i="32"/>
  <c r="X18" i="32"/>
  <c r="W18" i="32"/>
  <c r="V18" i="32"/>
  <c r="V17" i="32"/>
  <c r="V25" i="32" s="1"/>
  <c r="X16" i="32"/>
  <c r="W16" i="32"/>
  <c r="V16" i="32"/>
  <c r="W52" i="32" l="1"/>
  <c r="W61" i="32" s="1"/>
  <c r="Q44" i="54"/>
  <c r="Q51" i="54" s="1"/>
  <c r="Q65" i="54" s="1"/>
  <c r="V44" i="46"/>
  <c r="V51" i="46" s="1"/>
  <c r="P53" i="54"/>
  <c r="P62" i="54" s="1"/>
  <c r="V64" i="32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X52" i="51" l="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S64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T17" i="32" s="1"/>
  <c r="T25" i="32" s="1"/>
  <c r="S41" i="32"/>
  <c r="U39" i="32"/>
  <c r="U43" i="32" s="1"/>
  <c r="U50" i="32" s="1"/>
  <c r="T39" i="32"/>
  <c r="T43" i="32" s="1"/>
  <c r="T50" i="32" s="1"/>
  <c r="S39" i="32"/>
  <c r="U30" i="32"/>
  <c r="T30" i="32"/>
  <c r="S30" i="32"/>
  <c r="U18" i="32"/>
  <c r="T18" i="32"/>
  <c r="S18" i="32"/>
  <c r="U17" i="32"/>
  <c r="S17" i="32"/>
  <c r="U16" i="32"/>
  <c r="T16" i="32"/>
  <c r="S16" i="32"/>
  <c r="T64" i="32" l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44" i="52" s="1"/>
  <c r="R51" i="52" s="1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R26" i="46" s="1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Q65" i="52" l="1"/>
  <c r="R43" i="32"/>
  <c r="R50" i="32" s="1"/>
  <c r="P26" i="52"/>
  <c r="P53" i="52" s="1"/>
  <c r="P62" i="52" s="1"/>
  <c r="Q44" i="53"/>
  <c r="Q51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J52" i="49"/>
  <c r="J61" i="49" s="1"/>
  <c r="Q44" i="46"/>
  <c r="Q51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Q64" i="51"/>
  <c r="R64" i="51"/>
  <c r="R25" i="51"/>
  <c r="R43" i="51"/>
  <c r="R50" i="51" s="1"/>
  <c r="Q25" i="51"/>
  <c r="Q52" i="51" s="1"/>
  <c r="Q61" i="51" s="1"/>
  <c r="K52" i="49"/>
  <c r="K61" i="49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L42" i="52"/>
  <c r="L17" i="52" s="1"/>
  <c r="K42" i="52"/>
  <c r="K17" i="52" s="1"/>
  <c r="J42" i="52"/>
  <c r="L40" i="52"/>
  <c r="K40" i="52"/>
  <c r="K44" i="52" s="1"/>
  <c r="K51" i="52" s="1"/>
  <c r="J40" i="52"/>
  <c r="J44" i="52" s="1"/>
  <c r="J51" i="52" s="1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L25" i="32" l="1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C52" i="57" l="1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F17" i="51" s="1"/>
  <c r="E41" i="51"/>
  <c r="D41" i="51"/>
  <c r="D17" i="51" s="1"/>
  <c r="C41" i="51"/>
  <c r="B41" i="51"/>
  <c r="B17" i="51" s="1"/>
  <c r="F39" i="51"/>
  <c r="F43" i="51" s="1"/>
  <c r="F50" i="51" s="1"/>
  <c r="E39" i="51"/>
  <c r="D39" i="5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C17" i="46"/>
  <c r="F16" i="46"/>
  <c r="E16" i="46"/>
  <c r="D16" i="46"/>
  <c r="C16" i="46"/>
  <c r="B16" i="46"/>
  <c r="F41" i="32"/>
  <c r="F17" i="32" s="1"/>
  <c r="E41" i="32"/>
  <c r="E17" i="32" s="1"/>
  <c r="E64" i="32" s="1"/>
  <c r="D41" i="32"/>
  <c r="D17" i="32" s="1"/>
  <c r="C41" i="32"/>
  <c r="C17" i="32" s="1"/>
  <c r="B41" i="32"/>
  <c r="F39" i="32"/>
  <c r="E39" i="32"/>
  <c r="E43" i="32" s="1"/>
  <c r="E50" i="32" s="1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3" i="50" l="1"/>
  <c r="C62" i="50" s="1"/>
  <c r="F65" i="46"/>
  <c r="G44" i="46"/>
  <c r="G51" i="46" s="1"/>
  <c r="G65" i="46" s="1"/>
  <c r="H43" i="51"/>
  <c r="H50" i="51" s="1"/>
  <c r="H26" i="52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E49" i="29"/>
  <c r="E56" i="29" s="1"/>
  <c r="E70" i="29" s="1"/>
  <c r="F43" i="32"/>
  <c r="F50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26" i="52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F26" i="53"/>
  <c r="F53" i="53" s="1"/>
  <c r="F62" i="53" s="1"/>
  <c r="E53" i="52" l="1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<sst xmlns="http://schemas.openxmlformats.org/spreadsheetml/2006/main" count="5524" uniqueCount="130">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</sst>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 activeCell="B8" sqref="B8:E8"/>
    </sheetView>
  </sheetViews>
  <sheetFormatPr defaultColWidth="9" defaultRowHeight="15"/>
  <cols>
    <col min="1" max="1" width="62.140625" style="50" customWidth="1"/>
    <col min="2" max="4" width="15.640625" style="2" customWidth="1"/>
    <col min="5" max="5" width="15.640625" style="46" customWidth="1"/>
    <col min="6" max="6" width="39.640625" style="1" customWidth="1"/>
    <col min="7" max="16384" width="9" style="3"/>
  </cols>
  <sheetData>
    <row r="1" spans="1:6">
      <c r="A1" s="51" t="s">
        <v>0</v>
      </c>
    </row>
    <row r="2" spans="1:6" ht="28.3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.3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2.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.3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.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.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.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2.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6.6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6.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6.6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.3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.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0.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56.6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.6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6.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.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.3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.3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.3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.3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.3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.3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.3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8.3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8.3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8.3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8.3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8.3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6" ht="28.3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6" ht="28.3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6" ht="28.3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8.3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4.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B1" sqref="AB1:AD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2" width="15.640625" style="3" customWidth="1"/>
    <col min="13" max="13" width="15.7109375" style="3" customWidth="1"/>
    <col min="14" max="14" width="14.5" style="3" customWidth="1"/>
    <col min="15" max="15" width="18.1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5703125" style="2" customWidth="1"/>
    <col min="29" max="30" width="15.57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117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</row>
    <row r="7" spans="1:30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</row>
    <row r="8" spans="1:30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</row>
    <row r="17" spans="1:30" ht="28.3">
      <c r="A17" s="8" t="s">
        <v>35</v>
      </c>
      <c r="B17" s="29">
        <f t="shared" ref="B17:L17" si="3">B15+10*LOG10(B42/1000000)</f>
        <v>34.583624920952495</v>
      </c>
      <c r="C17" s="29">
        <f t="shared" si="3"/>
        <v>34.583624920952495</v>
      </c>
      <c r="D17" s="29">
        <f t="shared" si="3"/>
        <v>34.583624920952495</v>
      </c>
      <c r="E17" s="29">
        <f t="shared" si="3"/>
        <v>24.334237554869496</v>
      </c>
      <c r="F17" s="29">
        <f t="shared" si="3"/>
        <v>24.334237554869496</v>
      </c>
      <c r="G17" s="73">
        <f t="shared" si="3"/>
        <v>24.334237554869496</v>
      </c>
      <c r="H17" s="73">
        <f t="shared" si="3"/>
        <v>24.334237554869496</v>
      </c>
      <c r="I17" s="73">
        <f t="shared" si="3"/>
        <v>24.334237554869496</v>
      </c>
      <c r="J17" s="13">
        <f t="shared" si="3"/>
        <v>34.583624920952495</v>
      </c>
      <c r="K17" s="13">
        <f t="shared" si="3"/>
        <v>34.583624920952495</v>
      </c>
      <c r="L17" s="13">
        <f t="shared" si="3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4">P15+10*LOG10(P42/1000000)</f>
        <v>39.354837468149121</v>
      </c>
      <c r="Q17" s="164">
        <f t="shared" si="4"/>
        <v>39.354837468149121</v>
      </c>
      <c r="R17" s="164">
        <f t="shared" si="4"/>
        <v>39.354837468149121</v>
      </c>
      <c r="S17" s="166">
        <f t="shared" si="4"/>
        <v>24.334237554869496</v>
      </c>
      <c r="T17" s="166">
        <f t="shared" si="4"/>
        <v>24.334237554869496</v>
      </c>
      <c r="U17" s="166">
        <f t="shared" si="4"/>
        <v>24.334237554869496</v>
      </c>
      <c r="V17" s="166">
        <f t="shared" ref="V17:AA17" si="5">V15+10*LOG10(V42/1000000)</f>
        <v>41.115750058705935</v>
      </c>
      <c r="W17" s="166">
        <f t="shared" si="5"/>
        <v>41.115750058705935</v>
      </c>
      <c r="X17" s="166">
        <f t="shared" si="5"/>
        <v>41.115750058705935</v>
      </c>
      <c r="Y17" s="166">
        <f t="shared" si="5"/>
        <v>24.334237554869496</v>
      </c>
      <c r="Z17" s="166">
        <f t="shared" si="5"/>
        <v>24.334237554869496</v>
      </c>
      <c r="AA17" s="166">
        <f t="shared" si="5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</row>
    <row r="18" spans="1:30" ht="42.45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9">10*LOG10(K13/K14)-8</f>
        <v>7.0514997831990609</v>
      </c>
      <c r="L21" s="17">
        <f t="shared" si="9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</row>
    <row r="26" spans="1:30">
      <c r="A26" s="8" t="s">
        <v>51</v>
      </c>
      <c r="B26" s="29">
        <f t="shared" ref="B26:L26" si="10">B17+B18+B21-B23-B24</f>
        <v>52.354837468149121</v>
      </c>
      <c r="C26" s="29">
        <f t="shared" si="10"/>
        <v>52.354837468149121</v>
      </c>
      <c r="D26" s="29">
        <f t="shared" si="10"/>
        <v>52.354837468149121</v>
      </c>
      <c r="E26" s="29">
        <f t="shared" si="10"/>
        <v>32.765450102066119</v>
      </c>
      <c r="F26" s="29">
        <f t="shared" si="10"/>
        <v>32.765450102066119</v>
      </c>
      <c r="G26" s="73">
        <f t="shared" si="10"/>
        <v>42.105450102066122</v>
      </c>
      <c r="H26" s="73">
        <f t="shared" si="10"/>
        <v>42.105450102066122</v>
      </c>
      <c r="I26" s="73">
        <f t="shared" si="10"/>
        <v>42.105450102066122</v>
      </c>
      <c r="J26" s="13">
        <f t="shared" si="10"/>
        <v>48.756337251348185</v>
      </c>
      <c r="K26" s="13">
        <f t="shared" si="10"/>
        <v>48.756337251348185</v>
      </c>
      <c r="L26" s="13">
        <f t="shared" si="10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1">P17+P18+P21-P23-P24</f>
        <v>64.176050015345751</v>
      </c>
      <c r="Q26" s="164">
        <f t="shared" si="11"/>
        <v>64.176050015345751</v>
      </c>
      <c r="R26" s="164">
        <f t="shared" si="11"/>
        <v>64.176050015345751</v>
      </c>
      <c r="S26" s="166">
        <f t="shared" si="11"/>
        <v>42.105450102066122</v>
      </c>
      <c r="T26" s="166">
        <f t="shared" si="11"/>
        <v>42.105450102066122</v>
      </c>
      <c r="U26" s="166">
        <f t="shared" si="11"/>
        <v>42.105450102066122</v>
      </c>
      <c r="V26" s="166">
        <f t="shared" ref="V26:AA26" si="12">V17+V18+V21-V23-V24</f>
        <v>58.886962605902561</v>
      </c>
      <c r="W26" s="166">
        <f t="shared" si="12"/>
        <v>58.886962605902561</v>
      </c>
      <c r="X26" s="166">
        <f t="shared" si="12"/>
        <v>58.886962605902561</v>
      </c>
      <c r="Y26" s="166">
        <f t="shared" si="12"/>
        <v>42.105450102066122</v>
      </c>
      <c r="Z26" s="166">
        <f t="shared" si="12"/>
        <v>42.105450102066122</v>
      </c>
      <c r="AA26" s="166">
        <f t="shared" si="12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56.6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55">
        <v>0</v>
      </c>
      <c r="N30" s="155">
        <v>-3</v>
      </c>
      <c r="O30" s="155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</row>
    <row r="38" spans="1:30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</row>
    <row r="39" spans="1:30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</row>
    <row r="40" spans="1:30" ht="28.3">
      <c r="A40" s="8" t="s">
        <v>107</v>
      </c>
      <c r="B40" s="29">
        <f t="shared" ref="B40:L40" si="16">10*LOG10(10^((B35+B36)/10)+10^(B38/10))</f>
        <v>-167.00000000000003</v>
      </c>
      <c r="C40" s="29">
        <f t="shared" si="16"/>
        <v>-167.00000000000003</v>
      </c>
      <c r="D40" s="29">
        <f t="shared" si="16"/>
        <v>-167.00000000000003</v>
      </c>
      <c r="E40" s="29">
        <f t="shared" si="16"/>
        <v>-167.00000000000003</v>
      </c>
      <c r="F40" s="29">
        <f t="shared" si="16"/>
        <v>-167.00000000000003</v>
      </c>
      <c r="G40" s="73">
        <f t="shared" si="16"/>
        <v>-167.00000000000003</v>
      </c>
      <c r="H40" s="73">
        <f t="shared" si="16"/>
        <v>-167.00000000000003</v>
      </c>
      <c r="I40" s="73">
        <f t="shared" si="16"/>
        <v>-167.00000000000003</v>
      </c>
      <c r="J40" s="13">
        <f t="shared" si="16"/>
        <v>-164.98918835931039</v>
      </c>
      <c r="K40" s="13">
        <f t="shared" si="16"/>
        <v>-164.98918835931039</v>
      </c>
      <c r="L40" s="13">
        <f t="shared" si="16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17">10*LOG10(10^((P35+P36)/10)+10^(P38/10))</f>
        <v>-164.98918835931039</v>
      </c>
      <c r="Q40" s="164">
        <f t="shared" si="17"/>
        <v>-164.98918835931039</v>
      </c>
      <c r="R40" s="164">
        <f t="shared" si="17"/>
        <v>-164.98918835931039</v>
      </c>
      <c r="S40" s="166">
        <f t="shared" si="17"/>
        <v>-167.00000000000003</v>
      </c>
      <c r="T40" s="166">
        <f t="shared" si="17"/>
        <v>-167.00000000000003</v>
      </c>
      <c r="U40" s="166">
        <f t="shared" si="17"/>
        <v>-167.00000000000003</v>
      </c>
      <c r="V40" s="166">
        <f t="shared" ref="V40:AA40" si="18">10*LOG10(10^((V35+V36)/10)+10^(V38/10))</f>
        <v>-164.98918835931039</v>
      </c>
      <c r="W40" s="166">
        <f t="shared" si="18"/>
        <v>-164.98918835931039</v>
      </c>
      <c r="X40" s="166">
        <f t="shared" si="18"/>
        <v>-164.98918835931039</v>
      </c>
      <c r="Y40" s="166">
        <f t="shared" si="18"/>
        <v>-167.00000000000003</v>
      </c>
      <c r="Z40" s="166">
        <f t="shared" si="18"/>
        <v>-167.00000000000003</v>
      </c>
      <c r="AA40" s="166">
        <f t="shared" si="1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</row>
    <row r="41" spans="1:30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</row>
    <row r="42" spans="1:30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19">3*360*1000</f>
        <v>1080000</v>
      </c>
      <c r="I42" s="76">
        <f t="shared" si="19"/>
        <v>1080000</v>
      </c>
      <c r="J42" s="17">
        <f>4*360*1000</f>
        <v>1440000</v>
      </c>
      <c r="K42" s="17">
        <f t="shared" ref="K42:L42" si="20">4*360*1000</f>
        <v>1440000</v>
      </c>
      <c r="L42" s="17">
        <f t="shared" si="20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1">12*360*1000</f>
        <v>4320000</v>
      </c>
      <c r="R42" s="182">
        <f t="shared" si="21"/>
        <v>4320000</v>
      </c>
      <c r="S42" s="169">
        <f>3*360*1000</f>
        <v>1080000</v>
      </c>
      <c r="T42" s="169">
        <f t="shared" ref="T42:U42" si="22">3*360*1000</f>
        <v>1080000</v>
      </c>
      <c r="U42" s="169">
        <f t="shared" si="22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3">3*360*1000</f>
        <v>1080000</v>
      </c>
      <c r="AA42" s="169">
        <f t="shared" si="23"/>
        <v>1080000</v>
      </c>
      <c r="AB42" s="182">
        <f>3*360*1000</f>
        <v>1080000</v>
      </c>
      <c r="AC42" s="182">
        <f t="shared" ref="AC42:AD42" si="24">3*360*1000</f>
        <v>1080000</v>
      </c>
      <c r="AD42" s="182">
        <f t="shared" si="24"/>
        <v>1080000</v>
      </c>
    </row>
    <row r="43" spans="1:30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</row>
    <row r="44" spans="1:30">
      <c r="A44" s="8" t="s">
        <v>72</v>
      </c>
      <c r="B44" s="29">
        <f t="shared" ref="B44:L44" si="25">B40+10*LOG10(B42)</f>
        <v>-105.41637507904753</v>
      </c>
      <c r="C44" s="29">
        <f t="shared" si="25"/>
        <v>-105.41637507904753</v>
      </c>
      <c r="D44" s="29">
        <f t="shared" si="25"/>
        <v>-105.41637507904753</v>
      </c>
      <c r="E44" s="29">
        <f t="shared" si="25"/>
        <v>-106.66576244513053</v>
      </c>
      <c r="F44" s="29">
        <f t="shared" si="25"/>
        <v>-106.66576244513053</v>
      </c>
      <c r="G44" s="73">
        <f t="shared" si="25"/>
        <v>-106.66576244513053</v>
      </c>
      <c r="H44" s="73">
        <f t="shared" si="25"/>
        <v>-106.66576244513053</v>
      </c>
      <c r="I44" s="73">
        <f t="shared" si="25"/>
        <v>-106.66576244513053</v>
      </c>
      <c r="J44" s="13">
        <f t="shared" si="25"/>
        <v>-103.40556343835789</v>
      </c>
      <c r="K44" s="13">
        <f t="shared" si="25"/>
        <v>-103.40556343835789</v>
      </c>
      <c r="L44" s="13">
        <f t="shared" si="25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26">P40+10*LOG10(P42)</f>
        <v>-98.634350891161276</v>
      </c>
      <c r="Q44" s="164">
        <f t="shared" si="26"/>
        <v>-98.634350891161276</v>
      </c>
      <c r="R44" s="164">
        <f t="shared" si="26"/>
        <v>-98.634350891161276</v>
      </c>
      <c r="S44" s="166">
        <f t="shared" si="26"/>
        <v>-106.66576244513053</v>
      </c>
      <c r="T44" s="166">
        <f t="shared" si="26"/>
        <v>-106.66576244513053</v>
      </c>
      <c r="U44" s="166">
        <f t="shared" si="26"/>
        <v>-106.66576244513053</v>
      </c>
      <c r="V44" s="166">
        <f t="shared" ref="V44:AA44" si="27">V40+10*LOG10(V42)</f>
        <v>-96.873438300604462</v>
      </c>
      <c r="W44" s="166">
        <f t="shared" si="27"/>
        <v>-96.873438300604462</v>
      </c>
      <c r="X44" s="166">
        <f t="shared" si="27"/>
        <v>-96.873438300604462</v>
      </c>
      <c r="Y44" s="166">
        <f t="shared" si="27"/>
        <v>-106.66576244513053</v>
      </c>
      <c r="Z44" s="166">
        <f t="shared" si="27"/>
        <v>-106.66576244513053</v>
      </c>
      <c r="AA44" s="166">
        <f t="shared" si="27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</row>
    <row r="45" spans="1:30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</row>
    <row r="46" spans="1:30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</row>
    <row r="49" spans="1:30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</row>
    <row r="50" spans="1:30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</row>
    <row r="51" spans="1:30" ht="28.3">
      <c r="A51" s="8" t="s">
        <v>82</v>
      </c>
      <c r="B51" s="29">
        <f t="shared" ref="B51:L51" si="28">B44+B46+B47-B49</f>
        <v>-110.91637507904753</v>
      </c>
      <c r="C51" s="29">
        <f t="shared" si="28"/>
        <v>-107.41637507904753</v>
      </c>
      <c r="D51" s="29">
        <f t="shared" si="28"/>
        <v>-102.21637507904752</v>
      </c>
      <c r="E51" s="29">
        <f t="shared" si="28"/>
        <v>-116.53576244513053</v>
      </c>
      <c r="F51" s="29">
        <f t="shared" si="28"/>
        <v>-112.92576244513053</v>
      </c>
      <c r="G51" s="73">
        <f t="shared" si="28"/>
        <v>-112.28576244513053</v>
      </c>
      <c r="H51" s="73">
        <f t="shared" si="28"/>
        <v>-108.20576244513053</v>
      </c>
      <c r="I51" s="73">
        <f t="shared" si="28"/>
        <v>-102.68576244513052</v>
      </c>
      <c r="J51" s="13">
        <f t="shared" si="28"/>
        <v>-109.32556343835789</v>
      </c>
      <c r="K51" s="13">
        <f t="shared" si="28"/>
        <v>-104.83556343835789</v>
      </c>
      <c r="L51" s="13">
        <f t="shared" si="28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29">P44+P46+P47-P49</f>
        <v>-105.63435089116128</v>
      </c>
      <c r="Q51" s="164">
        <f t="shared" si="29"/>
        <v>-103.23435089116127</v>
      </c>
      <c r="R51" s="164">
        <f t="shared" si="29"/>
        <v>-99.434350891161273</v>
      </c>
      <c r="S51" s="166">
        <f t="shared" si="29"/>
        <v>-110.34576244513053</v>
      </c>
      <c r="T51" s="166">
        <f t="shared" si="29"/>
        <v>-105.83576244513053</v>
      </c>
      <c r="U51" s="166">
        <f t="shared" si="29"/>
        <v>-100.15576244513052</v>
      </c>
      <c r="V51" s="166">
        <f t="shared" ref="V51:AA51" si="30">V44+V46+V47-V49</f>
        <v>-103.23343830060446</v>
      </c>
      <c r="W51" s="166">
        <f t="shared" si="30"/>
        <v>-99.763438300604463</v>
      </c>
      <c r="X51" s="166">
        <f t="shared" si="30"/>
        <v>-95.463438300604466</v>
      </c>
      <c r="Y51" s="166">
        <f t="shared" si="30"/>
        <v>-113.66576244513053</v>
      </c>
      <c r="Z51" s="166">
        <f t="shared" si="30"/>
        <v>-110.66576244513053</v>
      </c>
      <c r="AA51" s="166">
        <f t="shared" si="30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</row>
    <row r="52" spans="1:30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</row>
    <row r="53" spans="1:30" ht="28.3">
      <c r="A53" s="22" t="s">
        <v>85</v>
      </c>
      <c r="B53" s="37">
        <f t="shared" ref="B53:G53" si="31">B26+B30+B33-B34-B51</f>
        <v>162.27121254719665</v>
      </c>
      <c r="C53" s="37">
        <f t="shared" si="31"/>
        <v>155.77121254719665</v>
      </c>
      <c r="D53" s="37">
        <f t="shared" si="31"/>
        <v>150.57121254719664</v>
      </c>
      <c r="E53" s="37">
        <f t="shared" si="31"/>
        <v>148.30121254719666</v>
      </c>
      <c r="F53" s="37">
        <f t="shared" si="31"/>
        <v>141.69121254719664</v>
      </c>
      <c r="G53" s="78">
        <f t="shared" si="31"/>
        <v>153.39121254719666</v>
      </c>
      <c r="H53" s="78">
        <f t="shared" ref="H53:L53" si="32">H26+H30+H33-H34-H51</f>
        <v>146.31121254719665</v>
      </c>
      <c r="I53" s="78">
        <f t="shared" si="32"/>
        <v>140.79121254719664</v>
      </c>
      <c r="J53" s="23">
        <f t="shared" si="32"/>
        <v>157.08190068970606</v>
      </c>
      <c r="K53" s="23">
        <f t="shared" si="32"/>
        <v>149.59190068970608</v>
      </c>
      <c r="L53" s="23">
        <f t="shared" si="3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33">Q26+Q30+Q33-Q34-Q51</f>
        <v>163.41040090650702</v>
      </c>
      <c r="R53" s="171">
        <f t="shared" si="33"/>
        <v>159.61040090650704</v>
      </c>
      <c r="S53" s="171">
        <f>S26+S30+S33-S34-S51</f>
        <v>151.45121254719666</v>
      </c>
      <c r="T53" s="171">
        <f t="shared" ref="T53:U53" si="34">T26+T30+T33-T34-T51</f>
        <v>143.94121254719664</v>
      </c>
      <c r="U53" s="171">
        <f t="shared" si="34"/>
        <v>138.26121254719664</v>
      </c>
      <c r="V53" s="171">
        <f>V26+V30+V33-V34-V51</f>
        <v>161.12040090650703</v>
      </c>
      <c r="W53" s="171">
        <f t="shared" ref="W53:X53" si="35">W26+W30+W33-W34-W51</f>
        <v>154.65040090650703</v>
      </c>
      <c r="X53" s="171">
        <f t="shared" si="35"/>
        <v>150.35040090650702</v>
      </c>
      <c r="Y53" s="171">
        <f>Y26+Y30+Y33-Y34-Y51</f>
        <v>154.77121254719665</v>
      </c>
      <c r="Z53" s="171">
        <f t="shared" ref="Z53:AA53" si="36">Z26+Z30+Z33-Z34-Z51</f>
        <v>148.77121254719665</v>
      </c>
      <c r="AA53" s="171">
        <f t="shared" si="36"/>
        <v>145.77121254719665</v>
      </c>
      <c r="AB53" s="179">
        <f>AB26+AB30+AB33-AB34-AB51</f>
        <v>143.57121254719664</v>
      </c>
      <c r="AC53" s="179">
        <f t="shared" ref="AC53:AD53" si="37">AC26+AC30+AC33-AC34-AC51</f>
        <v>137.17121254719666</v>
      </c>
      <c r="AD53" s="179">
        <f t="shared" si="37"/>
        <v>132.37121254719665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</row>
    <row r="57" spans="1:30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</row>
    <row r="62" spans="1:30" ht="28.3">
      <c r="A62" s="22" t="s">
        <v>109</v>
      </c>
      <c r="B62" s="37">
        <f t="shared" ref="B62:G62" si="38">B53-B57+B58-B59+B60</f>
        <v>131.54121254719666</v>
      </c>
      <c r="C62" s="37">
        <f t="shared" si="38"/>
        <v>125.04121254719666</v>
      </c>
      <c r="D62" s="37">
        <f t="shared" si="38"/>
        <v>119.84121254719665</v>
      </c>
      <c r="E62" s="37">
        <f t="shared" si="38"/>
        <v>117.57121254719667</v>
      </c>
      <c r="F62" s="37">
        <f t="shared" si="38"/>
        <v>110.96121254719665</v>
      </c>
      <c r="G62" s="78">
        <f t="shared" si="38"/>
        <v>122.66121254719667</v>
      </c>
      <c r="H62" s="78">
        <f t="shared" ref="H62:L62" si="39">H53-H57+H58-H59+H60</f>
        <v>115.58121254719666</v>
      </c>
      <c r="I62" s="78">
        <f t="shared" si="39"/>
        <v>110.06121254719665</v>
      </c>
      <c r="J62" s="23">
        <f t="shared" si="39"/>
        <v>126.35190068970607</v>
      </c>
      <c r="K62" s="23">
        <f t="shared" si="39"/>
        <v>118.86190068970609</v>
      </c>
      <c r="L62" s="23">
        <f t="shared" si="39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40">Q53-Q57+Q58-Q59+Q60</f>
        <v>132.68040090650703</v>
      </c>
      <c r="R62" s="171">
        <f t="shared" si="40"/>
        <v>128.88040090650705</v>
      </c>
      <c r="S62" s="171">
        <f>S53-S57+S58-S59+S60</f>
        <v>120.72121254719667</v>
      </c>
      <c r="T62" s="171">
        <f t="shared" ref="T62:U62" si="41">T53-T57+T58-T59+T60</f>
        <v>113.21121254719665</v>
      </c>
      <c r="U62" s="171">
        <f t="shared" si="41"/>
        <v>107.53121254719665</v>
      </c>
      <c r="V62" s="171">
        <f>V53-V57+V58-V59+V60</f>
        <v>130.39040090650704</v>
      </c>
      <c r="W62" s="171">
        <f t="shared" ref="W62:X62" si="42">W53-W57+W58-W59+W60</f>
        <v>123.92040090650704</v>
      </c>
      <c r="X62" s="171">
        <f t="shared" si="42"/>
        <v>119.62040090650703</v>
      </c>
      <c r="Y62" s="171">
        <f>Y53-Y57+Y58-Y59+Y60</f>
        <v>124.04121254719666</v>
      </c>
      <c r="Z62" s="171">
        <f t="shared" ref="Z62:AA62" si="43">Z53-Z57+Z58-Z59+Z60</f>
        <v>118.04121254719666</v>
      </c>
      <c r="AA62" s="171">
        <f t="shared" si="43"/>
        <v>115.04121254719666</v>
      </c>
      <c r="AB62" s="179">
        <f>AB53-AB57+AB58-AB59+AB60</f>
        <v>112.84121254719665</v>
      </c>
      <c r="AC62" s="179">
        <f t="shared" ref="AC62:AD62" si="44">AC53-AC57+AC58-AC59+AC60</f>
        <v>106.44121254719667</v>
      </c>
      <c r="AD62" s="179">
        <f t="shared" si="44"/>
        <v>101.64121254719664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</row>
    <row r="65" spans="1:30">
      <c r="A65" s="22" t="s">
        <v>98</v>
      </c>
      <c r="B65" s="37">
        <f t="shared" ref="B65:L65" si="45">B17-B23-B51+B21+B33</f>
        <v>153.50000000000003</v>
      </c>
      <c r="C65" s="37">
        <f t="shared" si="45"/>
        <v>150.00000000000003</v>
      </c>
      <c r="D65" s="37">
        <f t="shared" si="45"/>
        <v>144.80000000000001</v>
      </c>
      <c r="E65" s="37">
        <f t="shared" si="45"/>
        <v>142.48000000000005</v>
      </c>
      <c r="F65" s="37">
        <f t="shared" si="45"/>
        <v>138.87000000000003</v>
      </c>
      <c r="G65" s="78">
        <f t="shared" si="45"/>
        <v>144.62000000000003</v>
      </c>
      <c r="H65" s="78">
        <f t="shared" si="45"/>
        <v>140.54000000000002</v>
      </c>
      <c r="I65" s="78">
        <f t="shared" si="45"/>
        <v>135.02000000000001</v>
      </c>
      <c r="J65" s="23">
        <f t="shared" si="45"/>
        <v>150.96068814250944</v>
      </c>
      <c r="K65" s="23">
        <f t="shared" si="45"/>
        <v>146.47068814250946</v>
      </c>
      <c r="L65" s="23">
        <f t="shared" si="45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46">P17-P23-P51+P21+P33</f>
        <v>160.0391883593104</v>
      </c>
      <c r="Q65" s="171">
        <f t="shared" si="46"/>
        <v>157.6391883593104</v>
      </c>
      <c r="R65" s="171">
        <f t="shared" si="46"/>
        <v>153.83918835931041</v>
      </c>
      <c r="S65" s="171">
        <f t="shared" si="46"/>
        <v>142.68000000000004</v>
      </c>
      <c r="T65" s="171">
        <f t="shared" si="46"/>
        <v>138.17000000000002</v>
      </c>
      <c r="U65" s="171">
        <f t="shared" si="46"/>
        <v>132.49</v>
      </c>
      <c r="V65" s="171">
        <f t="shared" ref="V65:AA65" si="47">V17-V23-V51+V21+V33</f>
        <v>152.3491883593104</v>
      </c>
      <c r="W65" s="171">
        <f t="shared" si="47"/>
        <v>148.8791883593104</v>
      </c>
      <c r="X65" s="171">
        <f t="shared" si="47"/>
        <v>144.57918835931039</v>
      </c>
      <c r="Y65" s="171">
        <f t="shared" si="47"/>
        <v>146.00000000000003</v>
      </c>
      <c r="Z65" s="171">
        <f t="shared" si="47"/>
        <v>143.00000000000003</v>
      </c>
      <c r="AA65" s="171">
        <f t="shared" si="47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B1" sqref="AB1:AD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2" width="15.640625" style="3" customWidth="1"/>
    <col min="13" max="13" width="17.2109375" style="3" customWidth="1"/>
    <col min="14" max="14" width="19.7109375" style="3" customWidth="1"/>
    <col min="15" max="15" width="16.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5703125" style="2" customWidth="1"/>
    <col min="29" max="30" width="15.57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118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</row>
    <row r="7" spans="1:30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</row>
    <row r="8" spans="1:30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</row>
    <row r="17" spans="1:30" ht="28.3">
      <c r="A17" s="8" t="s">
        <v>35</v>
      </c>
      <c r="B17" s="29">
        <f t="shared" ref="B17:L17" si="3">B15+10*LOG10(B42/1000000)</f>
        <v>44.126050015345747</v>
      </c>
      <c r="C17" s="29">
        <f t="shared" si="3"/>
        <v>44.126050015345747</v>
      </c>
      <c r="D17" s="29">
        <f t="shared" si="3"/>
        <v>44.126050015345747</v>
      </c>
      <c r="E17" s="29">
        <f t="shared" si="3"/>
        <v>35.245042248342827</v>
      </c>
      <c r="F17" s="29">
        <f t="shared" si="3"/>
        <v>35.245042248342827</v>
      </c>
      <c r="G17" s="73">
        <f t="shared" si="3"/>
        <v>35.126050015345747</v>
      </c>
      <c r="H17" s="73">
        <f t="shared" si="3"/>
        <v>35.126050015345747</v>
      </c>
      <c r="I17" s="73">
        <f t="shared" si="3"/>
        <v>35.126050015345747</v>
      </c>
      <c r="J17" s="13">
        <f t="shared" si="3"/>
        <v>45.09515014542631</v>
      </c>
      <c r="K17" s="13">
        <f t="shared" si="3"/>
        <v>45.09515014542631</v>
      </c>
      <c r="L17" s="13">
        <f t="shared" si="3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4">P15+10*LOG10(P42/1000000)</f>
        <v>44.245042248342827</v>
      </c>
      <c r="Q17" s="164">
        <f t="shared" si="4"/>
        <v>44.245042248342827</v>
      </c>
      <c r="R17" s="164">
        <f t="shared" si="4"/>
        <v>44.245042248342827</v>
      </c>
      <c r="S17" s="166">
        <f t="shared" si="4"/>
        <v>35.126050015345747</v>
      </c>
      <c r="T17" s="166">
        <f t="shared" si="4"/>
        <v>35.126050015345747</v>
      </c>
      <c r="U17" s="166">
        <f t="shared" si="4"/>
        <v>35.126050015345747</v>
      </c>
      <c r="V17" s="166">
        <f t="shared" ref="V17:AA17" si="5">V15+10*LOG10(V42/1000000)</f>
        <v>44.360860973840971</v>
      </c>
      <c r="W17" s="166">
        <f t="shared" si="5"/>
        <v>44.360860973840971</v>
      </c>
      <c r="X17" s="166">
        <f t="shared" si="5"/>
        <v>44.360860973840971</v>
      </c>
      <c r="Y17" s="166">
        <f t="shared" si="5"/>
        <v>35.126050015345747</v>
      </c>
      <c r="Z17" s="166">
        <f t="shared" si="5"/>
        <v>35.126050015345747</v>
      </c>
      <c r="AA17" s="166">
        <f t="shared" si="5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</row>
    <row r="18" spans="1:30" ht="42.45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9">10*LOG10(K13/K14)-8</f>
        <v>7.0514997831990609</v>
      </c>
      <c r="L21" s="17">
        <f t="shared" si="9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</row>
    <row r="26" spans="1:30">
      <c r="A26" s="8" t="s">
        <v>51</v>
      </c>
      <c r="B26" s="29">
        <f t="shared" ref="B26:L26" si="10">B17+B18+B21-B23-B24</f>
        <v>61.89726256254238</v>
      </c>
      <c r="C26" s="29">
        <f t="shared" si="10"/>
        <v>61.89726256254238</v>
      </c>
      <c r="D26" s="29">
        <f t="shared" si="10"/>
        <v>61.89726256254238</v>
      </c>
      <c r="E26" s="29">
        <f t="shared" si="10"/>
        <v>43.67625479553945</v>
      </c>
      <c r="F26" s="29">
        <f t="shared" si="10"/>
        <v>43.67625479553945</v>
      </c>
      <c r="G26" s="73">
        <f t="shared" si="10"/>
        <v>52.897262562542373</v>
      </c>
      <c r="H26" s="73">
        <f t="shared" si="10"/>
        <v>52.897262562542373</v>
      </c>
      <c r="I26" s="73">
        <f t="shared" si="10"/>
        <v>52.897262562542373</v>
      </c>
      <c r="J26" s="13">
        <f t="shared" si="10"/>
        <v>59.267862475822</v>
      </c>
      <c r="K26" s="13">
        <f t="shared" si="10"/>
        <v>59.267862475822</v>
      </c>
      <c r="L26" s="13">
        <f t="shared" si="10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1">P17+P18+P21-P23-P24</f>
        <v>69.06625479553945</v>
      </c>
      <c r="Q26" s="164">
        <f t="shared" si="11"/>
        <v>69.06625479553945</v>
      </c>
      <c r="R26" s="164">
        <f t="shared" si="11"/>
        <v>69.06625479553945</v>
      </c>
      <c r="S26" s="166">
        <f t="shared" si="11"/>
        <v>52.897262562542373</v>
      </c>
      <c r="T26" s="166">
        <f t="shared" si="11"/>
        <v>52.897262562542373</v>
      </c>
      <c r="U26" s="166">
        <f t="shared" si="11"/>
        <v>52.897262562542373</v>
      </c>
      <c r="V26" s="166">
        <f t="shared" ref="V26:AA26" si="12">V17+V18+V21-V23-V24</f>
        <v>62.132073521037597</v>
      </c>
      <c r="W26" s="166">
        <f t="shared" si="12"/>
        <v>62.132073521037597</v>
      </c>
      <c r="X26" s="166">
        <f t="shared" si="12"/>
        <v>62.132073521037597</v>
      </c>
      <c r="Y26" s="166">
        <f t="shared" si="12"/>
        <v>52.897262562542373</v>
      </c>
      <c r="Z26" s="166">
        <f t="shared" si="12"/>
        <v>52.897262562542373</v>
      </c>
      <c r="AA26" s="166">
        <f t="shared" si="12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56.6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66">
        <v>0</v>
      </c>
      <c r="N30" s="166">
        <v>-3</v>
      </c>
      <c r="O30" s="166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</row>
    <row r="38" spans="1:30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</row>
    <row r="39" spans="1:30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</row>
    <row r="40" spans="1:30" ht="28.3">
      <c r="A40" s="8" t="s">
        <v>107</v>
      </c>
      <c r="B40" s="29">
        <f t="shared" ref="B40:L40" si="16">10*LOG10(10^((B35+B36)/10)+10^(B38/10))</f>
        <v>-167.00000000000003</v>
      </c>
      <c r="C40" s="29">
        <f t="shared" si="16"/>
        <v>-167.00000000000003</v>
      </c>
      <c r="D40" s="29">
        <f t="shared" si="16"/>
        <v>-167.00000000000003</v>
      </c>
      <c r="E40" s="29">
        <f t="shared" si="16"/>
        <v>-167.00000000000003</v>
      </c>
      <c r="F40" s="29">
        <f t="shared" si="16"/>
        <v>-167.00000000000003</v>
      </c>
      <c r="G40" s="73">
        <f t="shared" si="16"/>
        <v>-167.00000000000003</v>
      </c>
      <c r="H40" s="73">
        <f t="shared" si="16"/>
        <v>-167.00000000000003</v>
      </c>
      <c r="I40" s="73">
        <f t="shared" si="16"/>
        <v>-167.00000000000003</v>
      </c>
      <c r="J40" s="13">
        <f t="shared" si="16"/>
        <v>-164.98918835931039</v>
      </c>
      <c r="K40" s="13">
        <f t="shared" si="16"/>
        <v>-164.98918835931039</v>
      </c>
      <c r="L40" s="13">
        <f t="shared" si="16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17">10*LOG10(10^((P35+P36)/10)+10^(P38/10))</f>
        <v>-164.98918835931039</v>
      </c>
      <c r="Q40" s="164">
        <f t="shared" si="17"/>
        <v>-164.98918835931039</v>
      </c>
      <c r="R40" s="164">
        <f t="shared" si="17"/>
        <v>-164.98918835931039</v>
      </c>
      <c r="S40" s="166">
        <f t="shared" si="17"/>
        <v>-167.00000000000003</v>
      </c>
      <c r="T40" s="166">
        <f t="shared" si="17"/>
        <v>-167.00000000000003</v>
      </c>
      <c r="U40" s="166">
        <f t="shared" si="17"/>
        <v>-167.00000000000003</v>
      </c>
      <c r="V40" s="166">
        <f t="shared" ref="V40:AA40" si="18">10*LOG10(10^((V35+V36)/10)+10^(V38/10))</f>
        <v>-164.98918835931039</v>
      </c>
      <c r="W40" s="166">
        <f t="shared" si="18"/>
        <v>-164.98918835931039</v>
      </c>
      <c r="X40" s="166">
        <f t="shared" si="18"/>
        <v>-164.98918835931039</v>
      </c>
      <c r="Y40" s="166">
        <f t="shared" si="18"/>
        <v>-167.00000000000003</v>
      </c>
      <c r="Z40" s="166">
        <f t="shared" si="18"/>
        <v>-167.00000000000003</v>
      </c>
      <c r="AA40" s="166">
        <f t="shared" si="1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</row>
    <row r="41" spans="1:30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</row>
    <row r="42" spans="1:30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19">36*360*1000</f>
        <v>12960000</v>
      </c>
      <c r="I42" s="76">
        <f t="shared" si="19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0">37*360*1000</f>
        <v>13320000</v>
      </c>
      <c r="R42" s="182">
        <f t="shared" si="20"/>
        <v>13320000</v>
      </c>
      <c r="S42" s="169">
        <f>36*360*1000</f>
        <v>12960000</v>
      </c>
      <c r="T42" s="169">
        <f t="shared" ref="T42:U42" si="21">36*360*1000</f>
        <v>12960000</v>
      </c>
      <c r="U42" s="169">
        <f t="shared" si="21"/>
        <v>12960000</v>
      </c>
      <c r="V42" s="169">
        <f>38*360*1000</f>
        <v>13680000</v>
      </c>
      <c r="W42" s="169">
        <f t="shared" ref="W42:X42" si="22">38*360*1000</f>
        <v>13680000</v>
      </c>
      <c r="X42" s="169">
        <f t="shared" si="22"/>
        <v>13680000</v>
      </c>
      <c r="Y42" s="169">
        <f>36*360*1000</f>
        <v>12960000</v>
      </c>
      <c r="Z42" s="169">
        <f t="shared" ref="Z42:AA42" si="23">36*360*1000</f>
        <v>12960000</v>
      </c>
      <c r="AA42" s="169">
        <f t="shared" si="23"/>
        <v>12960000</v>
      </c>
      <c r="AB42" s="182">
        <f>36*360*1000</f>
        <v>12960000</v>
      </c>
      <c r="AC42" s="182">
        <f t="shared" ref="AC42:AD42" si="24">36*360*1000</f>
        <v>12960000</v>
      </c>
      <c r="AD42" s="182">
        <f t="shared" si="24"/>
        <v>12960000</v>
      </c>
    </row>
    <row r="43" spans="1:30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</row>
    <row r="44" spans="1:30">
      <c r="A44" s="8" t="s">
        <v>72</v>
      </c>
      <c r="B44" s="29">
        <f t="shared" ref="B44:L44" si="25">B40+10*LOG10(B42)</f>
        <v>-95.873949984654288</v>
      </c>
      <c r="C44" s="29">
        <f t="shared" si="25"/>
        <v>-95.873949984654288</v>
      </c>
      <c r="D44" s="29">
        <f t="shared" si="25"/>
        <v>-95.873949984654288</v>
      </c>
      <c r="E44" s="29">
        <f t="shared" si="25"/>
        <v>-95.754957751657201</v>
      </c>
      <c r="F44" s="29">
        <f t="shared" si="25"/>
        <v>-95.754957751657201</v>
      </c>
      <c r="G44" s="73">
        <f t="shared" si="25"/>
        <v>-95.873949984654288</v>
      </c>
      <c r="H44" s="73">
        <f t="shared" si="25"/>
        <v>-95.873949984654288</v>
      </c>
      <c r="I44" s="73">
        <f t="shared" si="25"/>
        <v>-95.873949984654288</v>
      </c>
      <c r="J44" s="13">
        <f t="shared" si="25"/>
        <v>-92.894038213884087</v>
      </c>
      <c r="K44" s="13">
        <f t="shared" si="25"/>
        <v>-92.894038213884087</v>
      </c>
      <c r="L44" s="13">
        <f t="shared" si="25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26">P40+10*LOG10(P42)</f>
        <v>-93.744146110967563</v>
      </c>
      <c r="Q44" s="164">
        <f t="shared" si="26"/>
        <v>-93.744146110967563</v>
      </c>
      <c r="R44" s="164">
        <f t="shared" si="26"/>
        <v>-93.744146110967563</v>
      </c>
      <c r="S44" s="166">
        <f t="shared" si="26"/>
        <v>-95.873949984654288</v>
      </c>
      <c r="T44" s="166">
        <f t="shared" si="26"/>
        <v>-95.873949984654288</v>
      </c>
      <c r="U44" s="166">
        <f t="shared" si="26"/>
        <v>-95.873949984654288</v>
      </c>
      <c r="V44" s="166">
        <f t="shared" ref="V44:AA44" si="27">V40+10*LOG10(V42)</f>
        <v>-93.628327385469419</v>
      </c>
      <c r="W44" s="166">
        <f t="shared" si="27"/>
        <v>-93.628327385469419</v>
      </c>
      <c r="X44" s="166">
        <f t="shared" si="27"/>
        <v>-93.628327385469419</v>
      </c>
      <c r="Y44" s="166">
        <f t="shared" si="27"/>
        <v>-95.873949984654288</v>
      </c>
      <c r="Z44" s="166">
        <f t="shared" si="27"/>
        <v>-95.873949984654288</v>
      </c>
      <c r="AA44" s="166">
        <f t="shared" si="27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</row>
    <row r="45" spans="1:30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</row>
    <row r="46" spans="1:30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</row>
    <row r="49" spans="1:30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</row>
    <row r="50" spans="1:30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</row>
    <row r="51" spans="1:30" ht="28.3">
      <c r="A51" s="8" t="s">
        <v>82</v>
      </c>
      <c r="B51" s="29">
        <f t="shared" ref="B51:L51" si="28">B44+B46+B47-B49</f>
        <v>-101.47394998465428</v>
      </c>
      <c r="C51" s="29">
        <f t="shared" si="28"/>
        <v>-98.873949984654288</v>
      </c>
      <c r="D51" s="29">
        <f t="shared" si="28"/>
        <v>-95.273949984654294</v>
      </c>
      <c r="E51" s="29">
        <f t="shared" si="28"/>
        <v>-105.8849577516572</v>
      </c>
      <c r="F51" s="29">
        <f t="shared" si="28"/>
        <v>-102.21495775165721</v>
      </c>
      <c r="G51" s="73">
        <f t="shared" si="28"/>
        <v>-104.29394998465429</v>
      </c>
      <c r="H51" s="73">
        <f t="shared" si="28"/>
        <v>-101.06394998465429</v>
      </c>
      <c r="I51" s="73">
        <f t="shared" si="28"/>
        <v>-97.29394998465429</v>
      </c>
      <c r="J51" s="13">
        <f t="shared" si="28"/>
        <v>-100.33403821388409</v>
      </c>
      <c r="K51" s="13">
        <f t="shared" si="28"/>
        <v>-96.264038213884092</v>
      </c>
      <c r="L51" s="13">
        <f t="shared" si="28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29">P44+P46+P47-P49</f>
        <v>-97.844146110967557</v>
      </c>
      <c r="Q51" s="164">
        <f t="shared" si="29"/>
        <v>-94.944146110967566</v>
      </c>
      <c r="R51" s="164">
        <f t="shared" si="29"/>
        <v>-91.444146110967566</v>
      </c>
      <c r="S51" s="166">
        <f t="shared" si="29"/>
        <v>-101.68394998465429</v>
      </c>
      <c r="T51" s="166">
        <f t="shared" si="29"/>
        <v>-98.123949984654288</v>
      </c>
      <c r="U51" s="166">
        <f t="shared" si="29"/>
        <v>-94.003949984654284</v>
      </c>
      <c r="V51" s="166">
        <f t="shared" ref="V51:AA51" si="30">V44+V46+V47-V49</f>
        <v>-99.748327385469423</v>
      </c>
      <c r="W51" s="166">
        <f t="shared" si="30"/>
        <v>-96.508327385469414</v>
      </c>
      <c r="X51" s="166">
        <f t="shared" si="30"/>
        <v>-92.628327385469419</v>
      </c>
      <c r="Y51" s="166">
        <f t="shared" si="30"/>
        <v>-102.87394998465429</v>
      </c>
      <c r="Z51" s="166">
        <f t="shared" si="30"/>
        <v>-99.873949984654288</v>
      </c>
      <c r="AA51" s="166">
        <f t="shared" si="30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</row>
    <row r="52" spans="1:30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</row>
    <row r="53" spans="1:30" ht="28.3">
      <c r="A53" s="22" t="s">
        <v>85</v>
      </c>
      <c r="B53" s="37">
        <f t="shared" ref="B53:G53" si="31">B26+B30+B33-B34-B51</f>
        <v>162.37121254719665</v>
      </c>
      <c r="C53" s="37">
        <f t="shared" si="31"/>
        <v>156.77121254719668</v>
      </c>
      <c r="D53" s="37">
        <f t="shared" si="31"/>
        <v>153.17121254719666</v>
      </c>
      <c r="E53" s="37">
        <f t="shared" si="31"/>
        <v>148.56121254719665</v>
      </c>
      <c r="F53" s="37">
        <f t="shared" si="31"/>
        <v>141.89121254719666</v>
      </c>
      <c r="G53" s="78">
        <f t="shared" si="31"/>
        <v>156.19121254719667</v>
      </c>
      <c r="H53" s="78">
        <f t="shared" ref="H53:L53" si="32">H26+H30+H33-H34-H51</f>
        <v>149.96121254719665</v>
      </c>
      <c r="I53" s="78">
        <f t="shared" si="32"/>
        <v>146.19121254719667</v>
      </c>
      <c r="J53" s="23">
        <f t="shared" si="32"/>
        <v>158.6019006897061</v>
      </c>
      <c r="K53" s="23">
        <f t="shared" si="32"/>
        <v>151.53190068970611</v>
      </c>
      <c r="L53" s="23">
        <f t="shared" si="32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33">Q26+Q30+Q33-Q34-Q51</f>
        <v>160.01040090650702</v>
      </c>
      <c r="R53" s="171">
        <f t="shared" si="33"/>
        <v>156.51040090650702</v>
      </c>
      <c r="S53" s="171">
        <f>S26+S30+S33-S34-S51</f>
        <v>153.58121254719666</v>
      </c>
      <c r="T53" s="171">
        <f t="shared" ref="T53:U53" si="34">T26+T30+T33-T34-T51</f>
        <v>147.02121254719665</v>
      </c>
      <c r="U53" s="171">
        <f t="shared" si="34"/>
        <v>142.90121254719665</v>
      </c>
      <c r="V53" s="171">
        <f>V26+V30+V33-V34-V51</f>
        <v>160.88040090650702</v>
      </c>
      <c r="W53" s="171">
        <f t="shared" ref="W53:X53" si="35">W26+W30+W33-W34-W51</f>
        <v>154.64040090650701</v>
      </c>
      <c r="X53" s="171">
        <f t="shared" si="35"/>
        <v>150.76040090650702</v>
      </c>
      <c r="Y53" s="171">
        <f>Y26+Y30+Y33-Y34-Y51</f>
        <v>154.77121254719665</v>
      </c>
      <c r="Z53" s="171">
        <f t="shared" ref="Z53:AA53" si="36">Z26+Z30+Z33-Z34-Z51</f>
        <v>148.77121254719665</v>
      </c>
      <c r="AA53" s="171">
        <f t="shared" si="36"/>
        <v>145.77121254719665</v>
      </c>
      <c r="AB53" s="179">
        <f>AB26+AB30+AB33-AB34-AB51</f>
        <v>146.47121254719667</v>
      </c>
      <c r="AC53" s="179">
        <f t="shared" ref="AC53:AD53" si="37">AC26+AC30+AC33-AC34-AC51</f>
        <v>139.87121254719665</v>
      </c>
      <c r="AD53" s="179">
        <f t="shared" si="37"/>
        <v>135.97121254719667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</row>
    <row r="57" spans="1:30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</row>
    <row r="62" spans="1:30" ht="28.3">
      <c r="A62" s="22" t="s">
        <v>109</v>
      </c>
      <c r="B62" s="37">
        <f t="shared" ref="B62:G62" si="38">B53-B57+B58-B59+B60</f>
        <v>131.64121254719666</v>
      </c>
      <c r="C62" s="37">
        <f t="shared" si="38"/>
        <v>126.04121254719669</v>
      </c>
      <c r="D62" s="37">
        <f t="shared" si="38"/>
        <v>122.44121254719667</v>
      </c>
      <c r="E62" s="37">
        <f t="shared" si="38"/>
        <v>117.83121254719666</v>
      </c>
      <c r="F62" s="37">
        <f t="shared" si="38"/>
        <v>111.16121254719667</v>
      </c>
      <c r="G62" s="78">
        <f t="shared" si="38"/>
        <v>125.46121254719668</v>
      </c>
      <c r="H62" s="78">
        <f t="shared" ref="H62:L62" si="39">H53-H57+H58-H59+H60</f>
        <v>119.23121254719666</v>
      </c>
      <c r="I62" s="78">
        <f t="shared" si="39"/>
        <v>115.46121254719668</v>
      </c>
      <c r="J62" s="23">
        <f t="shared" si="39"/>
        <v>127.87190068970611</v>
      </c>
      <c r="K62" s="23">
        <f t="shared" si="39"/>
        <v>120.80190068970612</v>
      </c>
      <c r="L62" s="23">
        <f t="shared" si="39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40">Q53-Q57+Q58-Q59+Q60</f>
        <v>129.28040090650703</v>
      </c>
      <c r="R62" s="171">
        <f t="shared" si="40"/>
        <v>125.78040090650703</v>
      </c>
      <c r="S62" s="171">
        <f>S53-S57+S58-S59+S60</f>
        <v>122.85121254719667</v>
      </c>
      <c r="T62" s="171">
        <f t="shared" ref="T62:U62" si="41">T53-T57+T58-T59+T60</f>
        <v>116.29121254719666</v>
      </c>
      <c r="U62" s="171">
        <f t="shared" si="41"/>
        <v>112.17121254719666</v>
      </c>
      <c r="V62" s="171">
        <f>V53-V57+V58-V59+V60</f>
        <v>130.15040090650703</v>
      </c>
      <c r="W62" s="171">
        <f t="shared" ref="W62:X62" si="42">W53-W57+W58-W59+W60</f>
        <v>123.91040090650702</v>
      </c>
      <c r="X62" s="171">
        <f t="shared" si="42"/>
        <v>120.03040090650703</v>
      </c>
      <c r="Y62" s="171">
        <f>Y53-Y57+Y58-Y59+Y60</f>
        <v>124.04121254719666</v>
      </c>
      <c r="Z62" s="171">
        <f t="shared" ref="Z62:AA62" si="43">Z53-Z57+Z58-Z59+Z60</f>
        <v>118.04121254719666</v>
      </c>
      <c r="AA62" s="171">
        <f t="shared" si="43"/>
        <v>115.04121254719666</v>
      </c>
      <c r="AB62" s="179">
        <f>AB53-AB57+AB58-AB59+AB60</f>
        <v>115.74121254719668</v>
      </c>
      <c r="AC62" s="179">
        <f t="shared" ref="AC62:AD62" si="44">AC53-AC57+AC58-AC59+AC60</f>
        <v>109.14121254719666</v>
      </c>
      <c r="AD62" s="179">
        <f t="shared" si="44"/>
        <v>105.24121254719668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</row>
    <row r="65" spans="1:30">
      <c r="A65" s="22" t="s">
        <v>98</v>
      </c>
      <c r="B65" s="37">
        <f t="shared" ref="B65:L65" si="45">B17-B23-B51+B21+B33</f>
        <v>153.60000000000002</v>
      </c>
      <c r="C65" s="37">
        <f t="shared" si="45"/>
        <v>151.00000000000003</v>
      </c>
      <c r="D65" s="37">
        <f t="shared" si="45"/>
        <v>147.40000000000003</v>
      </c>
      <c r="E65" s="37">
        <f t="shared" si="45"/>
        <v>142.74000000000004</v>
      </c>
      <c r="F65" s="37">
        <f t="shared" si="45"/>
        <v>139.07000000000005</v>
      </c>
      <c r="G65" s="78">
        <f t="shared" si="45"/>
        <v>147.42000000000004</v>
      </c>
      <c r="H65" s="78">
        <f t="shared" si="45"/>
        <v>144.19000000000003</v>
      </c>
      <c r="I65" s="78">
        <f t="shared" si="45"/>
        <v>140.42000000000004</v>
      </c>
      <c r="J65" s="23">
        <f t="shared" si="45"/>
        <v>152.48068814250945</v>
      </c>
      <c r="K65" s="23">
        <f t="shared" si="45"/>
        <v>148.41068814250946</v>
      </c>
      <c r="L65" s="23">
        <f t="shared" si="45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46">P17-P23-P51+P21+P33</f>
        <v>157.1391883593104</v>
      </c>
      <c r="Q65" s="171">
        <f t="shared" si="46"/>
        <v>154.23918835931039</v>
      </c>
      <c r="R65" s="171">
        <f t="shared" si="46"/>
        <v>150.73918835931039</v>
      </c>
      <c r="S65" s="171">
        <f t="shared" si="46"/>
        <v>144.81000000000003</v>
      </c>
      <c r="T65" s="171">
        <f t="shared" si="46"/>
        <v>141.25000000000003</v>
      </c>
      <c r="U65" s="171">
        <f t="shared" si="46"/>
        <v>137.13000000000002</v>
      </c>
      <c r="V65" s="171">
        <f t="shared" ref="V65:AA65" si="47">V17-V23-V51+V21+V33</f>
        <v>152.10918835931039</v>
      </c>
      <c r="W65" s="171">
        <f t="shared" si="47"/>
        <v>148.86918835931039</v>
      </c>
      <c r="X65" s="171">
        <f t="shared" si="47"/>
        <v>144.98918835931039</v>
      </c>
      <c r="Y65" s="171">
        <f t="shared" si="47"/>
        <v>146.00000000000003</v>
      </c>
      <c r="Z65" s="171">
        <f t="shared" si="47"/>
        <v>143.00000000000003</v>
      </c>
      <c r="AA65" s="171">
        <f t="shared" si="47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T1" sqref="T1:U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20.140625" style="3" customWidth="1"/>
    <col min="11" max="11" width="21.710937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640625" style="2" customWidth="1"/>
    <col min="19" max="19" width="15.640625" style="3" customWidth="1"/>
    <col min="20" max="20" width="15.5703125" style="2" customWidth="1"/>
    <col min="21" max="21" width="15.570312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127</v>
      </c>
      <c r="Q1" s="202"/>
      <c r="R1" s="202" t="s">
        <v>128</v>
      </c>
      <c r="S1" s="202"/>
      <c r="T1" s="202" t="s">
        <v>129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</row>
    <row r="4" spans="1:2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</row>
    <row r="7" spans="1:21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</row>
    <row r="8" spans="1:21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</row>
    <row r="9" spans="1:21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</row>
    <row r="10" spans="1:2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</row>
    <row r="14" spans="1:2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</row>
    <row r="15" spans="1:2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</row>
    <row r="16" spans="1:2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  <c r="T18" s="178">
        <f>T19+10*LOG10(T12/T14)-T20</f>
        <v>0</v>
      </c>
      <c r="U18" s="178">
        <f>U19+10*LOG10(U12/U14)-U20</f>
        <v>-3</v>
      </c>
    </row>
    <row r="19" spans="1:2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</row>
    <row r="22" spans="1:2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</row>
    <row r="26" spans="1:21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78">
        <v>22</v>
      </c>
      <c r="K26" s="178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  <c r="T26" s="178">
        <f>T17+T18+T21-T23-T24</f>
        <v>22</v>
      </c>
      <c r="U26" s="178">
        <f>U17+U18+U21-U23-U24</f>
        <v>19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</row>
    <row r="29" spans="1:2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56.6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v>12.771212547196624</v>
      </c>
      <c r="K30" s="176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  <c r="T30" s="178">
        <f>T31+10*LOG10(T28/T13)-T32</f>
        <v>8.7712125471966242</v>
      </c>
      <c r="U30" s="178">
        <f>U31+10*LOG10(U28/U13)-U32</f>
        <v>8.7712125471966242</v>
      </c>
    </row>
    <row r="31" spans="1:2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</row>
    <row r="33" spans="1:21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</row>
    <row r="34" spans="1:21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</row>
    <row r="37" spans="1:21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</row>
    <row r="38" spans="1:21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</row>
    <row r="39" spans="1:21" ht="28.3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</row>
    <row r="40" spans="1:21" ht="28.3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76">
        <v>-169.00000000000003</v>
      </c>
      <c r="K40" s="176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  <c r="T40" s="178">
        <f>10*LOG10(10^((T35+T36)/10)+10^(T38/10))</f>
        <v>-169.00000000000003</v>
      </c>
      <c r="U40" s="178">
        <f>10*LOG10(10^((U35+U36)/10)+10^(U38/10))</f>
        <v>-169.00000000000003</v>
      </c>
    </row>
    <row r="41" spans="1:21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</row>
    <row r="42" spans="1:21">
      <c r="A42" s="42" t="s">
        <v>70</v>
      </c>
      <c r="B42" s="13">
        <f t="shared" ref="B42:I42" si="8">2*360*1000</f>
        <v>720000</v>
      </c>
      <c r="C42" s="13">
        <f t="shared" si="8"/>
        <v>720000</v>
      </c>
      <c r="D42" s="13">
        <f t="shared" si="8"/>
        <v>720000</v>
      </c>
      <c r="E42" s="13">
        <f t="shared" si="8"/>
        <v>720000</v>
      </c>
      <c r="F42" s="86">
        <f t="shared" si="8"/>
        <v>720000</v>
      </c>
      <c r="G42" s="86">
        <f t="shared" si="8"/>
        <v>720000</v>
      </c>
      <c r="H42" s="13">
        <f t="shared" si="8"/>
        <v>720000</v>
      </c>
      <c r="I42" s="13">
        <f t="shared" si="8"/>
        <v>720000</v>
      </c>
      <c r="J42" s="176">
        <v>720000</v>
      </c>
      <c r="K42" s="176">
        <v>720000</v>
      </c>
      <c r="L42" s="178">
        <f t="shared" ref="L42:Q42" si="9">2*360*1000</f>
        <v>720000</v>
      </c>
      <c r="M42" s="178">
        <f t="shared" si="9"/>
        <v>720000</v>
      </c>
      <c r="N42" s="176">
        <f t="shared" si="9"/>
        <v>720000</v>
      </c>
      <c r="O42" s="176">
        <f t="shared" si="9"/>
        <v>720000</v>
      </c>
      <c r="P42" s="176">
        <f t="shared" si="9"/>
        <v>720000</v>
      </c>
      <c r="Q42" s="176">
        <f t="shared" si="9"/>
        <v>720000</v>
      </c>
      <c r="R42" s="176">
        <f>2*360*1000</f>
        <v>720000</v>
      </c>
      <c r="S42" s="176">
        <f>2*360*1000</f>
        <v>720000</v>
      </c>
      <c r="T42" s="178">
        <f>2*360*1000</f>
        <v>720000</v>
      </c>
      <c r="U42" s="178">
        <f>2*360*1000</f>
        <v>720000</v>
      </c>
    </row>
    <row r="43" spans="1:21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</row>
    <row r="44" spans="1:21">
      <c r="A44" s="8" t="s">
        <v>72</v>
      </c>
      <c r="B44" s="13">
        <f t="shared" ref="B44:I44" si="10">B40+10*LOG10(B42)</f>
        <v>-110.42667503568734</v>
      </c>
      <c r="C44" s="13">
        <f t="shared" si="10"/>
        <v>-110.42667503568734</v>
      </c>
      <c r="D44" s="13">
        <f t="shared" si="10"/>
        <v>-110.42667503568734</v>
      </c>
      <c r="E44" s="13">
        <f t="shared" si="10"/>
        <v>-110.42667503568734</v>
      </c>
      <c r="F44" s="86">
        <f t="shared" si="10"/>
        <v>-110.42667503568734</v>
      </c>
      <c r="G44" s="86">
        <f t="shared" si="10"/>
        <v>-110.42667503568734</v>
      </c>
      <c r="H44" s="13">
        <f t="shared" si="10"/>
        <v>-105.46019811105398</v>
      </c>
      <c r="I44" s="13">
        <f t="shared" si="10"/>
        <v>-105.46019811105398</v>
      </c>
      <c r="J44" s="176">
        <v>-110.42667503568734</v>
      </c>
      <c r="K44" s="176">
        <v>-110.42667503568734</v>
      </c>
      <c r="L44" s="178">
        <f t="shared" ref="L44:Q44" si="11">L40+10*LOG10(L42)</f>
        <v>-105.46019811105398</v>
      </c>
      <c r="M44" s="178">
        <f t="shared" si="11"/>
        <v>-105.46019811105398</v>
      </c>
      <c r="N44" s="176">
        <f t="shared" si="11"/>
        <v>-110.42667503568734</v>
      </c>
      <c r="O44" s="176">
        <f t="shared" si="11"/>
        <v>-110.42667503568734</v>
      </c>
      <c r="P44" s="176">
        <f t="shared" si="11"/>
        <v>-105.46019811105398</v>
      </c>
      <c r="Q44" s="176">
        <f t="shared" si="11"/>
        <v>-105.46019811105398</v>
      </c>
      <c r="R44" s="176">
        <f>R40+10*LOG10(R42)</f>
        <v>-110.42667503568734</v>
      </c>
      <c r="S44" s="176">
        <f>S40+10*LOG10(S42)</f>
        <v>-110.42667503568734</v>
      </c>
      <c r="T44" s="178">
        <f>T40+10*LOG10(T42)</f>
        <v>-110.42667503568734</v>
      </c>
      <c r="U44" s="178">
        <f>U40+10*LOG10(U42)</f>
        <v>-110.42667503568734</v>
      </c>
    </row>
    <row r="45" spans="1:21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</row>
    <row r="46" spans="1:21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</row>
    <row r="47" spans="1:2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28.3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</row>
    <row r="49" spans="1:21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</row>
    <row r="50" spans="1:21" ht="28.3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</row>
    <row r="51" spans="1:21" ht="28.3">
      <c r="A51" s="8" t="s">
        <v>82</v>
      </c>
      <c r="B51" s="13">
        <f t="shared" ref="B51:I51" si="12">B44+B46+B47-B49</f>
        <v>-110.22667503568734</v>
      </c>
      <c r="C51" s="13">
        <f t="shared" si="12"/>
        <v>-110.22667503568734</v>
      </c>
      <c r="D51" s="13">
        <f t="shared" si="12"/>
        <v>-115.46667503568735</v>
      </c>
      <c r="E51" s="13">
        <f t="shared" si="12"/>
        <v>-115.46667503568735</v>
      </c>
      <c r="F51" s="86">
        <f t="shared" si="12"/>
        <v>-114.91667503568733</v>
      </c>
      <c r="G51" s="86">
        <f t="shared" si="12"/>
        <v>-114.91667503568733</v>
      </c>
      <c r="H51" s="13">
        <f t="shared" si="12"/>
        <v>-105.49019811105399</v>
      </c>
      <c r="I51" s="13">
        <f t="shared" si="12"/>
        <v>-105.75019811105399</v>
      </c>
      <c r="J51" s="176">
        <v>-113.72667503568734</v>
      </c>
      <c r="K51" s="176">
        <v>-113.72667503568734</v>
      </c>
      <c r="L51" s="178">
        <f t="shared" ref="L51:Q51" si="13">L44+L46+L47-L49</f>
        <v>-100.46019811105398</v>
      </c>
      <c r="M51" s="178">
        <f t="shared" si="13"/>
        <v>-100.46019811105398</v>
      </c>
      <c r="N51" s="176">
        <f t="shared" si="13"/>
        <v>-114.86667503568734</v>
      </c>
      <c r="O51" s="176">
        <f t="shared" si="13"/>
        <v>-114.86667503568734</v>
      </c>
      <c r="P51" s="176">
        <f t="shared" si="13"/>
        <v>-109.89019811105399</v>
      </c>
      <c r="Q51" s="176">
        <f t="shared" si="13"/>
        <v>-109.89019811105399</v>
      </c>
      <c r="R51" s="176">
        <f>R44+R46+R47-R49</f>
        <v>-113.72667503568734</v>
      </c>
      <c r="S51" s="176">
        <f>S44+S46+S47-S49</f>
        <v>-113.72667503568734</v>
      </c>
      <c r="T51" s="178">
        <f>T44+T46+T47-T49</f>
        <v>-114.52667503568733</v>
      </c>
      <c r="U51" s="178">
        <f>U44+U46+U47-U49</f>
        <v>-114.52667503568733</v>
      </c>
    </row>
    <row r="52" spans="1:21" ht="28.3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</row>
    <row r="53" spans="1:21" ht="28.3">
      <c r="A53" s="45" t="s">
        <v>85</v>
      </c>
      <c r="B53" s="23">
        <f t="shared" ref="B53:I53" si="14">B26+B30+B33-B34-B51</f>
        <v>149.99788758288395</v>
      </c>
      <c r="C53" s="23">
        <f t="shared" si="14"/>
        <v>146.99788758288395</v>
      </c>
      <c r="D53" s="23">
        <f t="shared" si="14"/>
        <v>156.32788758288396</v>
      </c>
      <c r="E53" s="23">
        <f t="shared" si="14"/>
        <v>153.32788758288396</v>
      </c>
      <c r="F53" s="90">
        <f t="shared" si="14"/>
        <v>154.68788758288395</v>
      </c>
      <c r="G53" s="90">
        <f t="shared" si="14"/>
        <v>151.68788758288395</v>
      </c>
      <c r="H53" s="23">
        <f t="shared" si="14"/>
        <v>152.31291044144967</v>
      </c>
      <c r="I53" s="23">
        <f t="shared" si="14"/>
        <v>149.57291044144966</v>
      </c>
      <c r="J53" s="179">
        <v>153.49788758288395</v>
      </c>
      <c r="K53" s="179">
        <v>150.49788758288395</v>
      </c>
      <c r="L53" s="179">
        <f t="shared" ref="L53:Q53" si="15">L26+L30+L33-L34-L51</f>
        <v>147.28141065825059</v>
      </c>
      <c r="M53" s="179">
        <f t="shared" si="15"/>
        <v>144.28141065825059</v>
      </c>
      <c r="N53" s="179">
        <f t="shared" si="15"/>
        <v>154.63788758288396</v>
      </c>
      <c r="O53" s="179">
        <f t="shared" si="15"/>
        <v>151.63788758288396</v>
      </c>
      <c r="P53" s="179">
        <f t="shared" si="15"/>
        <v>149.66141065825062</v>
      </c>
      <c r="Q53" s="179">
        <f t="shared" si="15"/>
        <v>146.66141065825062</v>
      </c>
      <c r="R53" s="179">
        <f>R26+R30+R33-R34-R51</f>
        <v>153.49788758288395</v>
      </c>
      <c r="S53" s="179">
        <f>S26+S30+S33-S34-S51</f>
        <v>150.49788758288395</v>
      </c>
      <c r="T53" s="179">
        <f>T26+T30+T33-T34-T51</f>
        <v>151.29788758288396</v>
      </c>
      <c r="U53" s="179">
        <f>U26+U30+U33-U34-U51</f>
        <v>148.29788758288396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28.3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</row>
    <row r="57" spans="1:21" ht="28.3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</row>
    <row r="58" spans="1:2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28.3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</row>
    <row r="62" spans="1:21" ht="28.3">
      <c r="A62" s="45" t="s">
        <v>109</v>
      </c>
      <c r="B62" s="23">
        <f t="shared" ref="B62:I62" si="16">B53-B57+B58-B59+B60</f>
        <v>119.26788758288396</v>
      </c>
      <c r="C62" s="23">
        <f t="shared" si="16"/>
        <v>116.26788758288396</v>
      </c>
      <c r="D62" s="23">
        <f t="shared" si="16"/>
        <v>125.59788758288397</v>
      </c>
      <c r="E62" s="23">
        <f t="shared" si="16"/>
        <v>122.59788758288397</v>
      </c>
      <c r="F62" s="90">
        <f t="shared" si="16"/>
        <v>123.95788758288396</v>
      </c>
      <c r="G62" s="90">
        <f t="shared" si="16"/>
        <v>120.95788758288396</v>
      </c>
      <c r="H62" s="23">
        <f t="shared" si="16"/>
        <v>121.58291044144968</v>
      </c>
      <c r="I62" s="23">
        <f t="shared" si="16"/>
        <v>118.84291044144967</v>
      </c>
      <c r="J62" s="179">
        <v>122.76788758288396</v>
      </c>
      <c r="K62" s="179">
        <v>119.76788758288396</v>
      </c>
      <c r="L62" s="179">
        <f t="shared" ref="L62:Q62" si="17">L53-L57+L58-L59+L60</f>
        <v>116.5514106582506</v>
      </c>
      <c r="M62" s="179">
        <f t="shared" si="17"/>
        <v>113.5514106582506</v>
      </c>
      <c r="N62" s="179">
        <f t="shared" si="17"/>
        <v>123.90788758288397</v>
      </c>
      <c r="O62" s="179">
        <f t="shared" si="17"/>
        <v>120.90788758288397</v>
      </c>
      <c r="P62" s="179">
        <f t="shared" si="17"/>
        <v>118.93141065825063</v>
      </c>
      <c r="Q62" s="179">
        <f t="shared" si="17"/>
        <v>115.93141065825063</v>
      </c>
      <c r="R62" s="179">
        <f>R53-R57+R58-R59+R60</f>
        <v>122.76788758288396</v>
      </c>
      <c r="S62" s="179">
        <f>S53-S57+S58-S59+S60</f>
        <v>119.76788758288396</v>
      </c>
      <c r="T62" s="179">
        <f>T53-T57+T58-T59+T60</f>
        <v>120.56788758288397</v>
      </c>
      <c r="U62" s="179">
        <f>U53-U57+U58-U59+U60</f>
        <v>117.56788758288397</v>
      </c>
    </row>
    <row r="63" spans="1:21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</row>
    <row r="65" spans="1:21">
      <c r="A65" s="45" t="s">
        <v>98</v>
      </c>
      <c r="B65" s="23">
        <f t="shared" ref="B65:I65" si="18">B17-B23-B51+B21+B33</f>
        <v>141.22667503568732</v>
      </c>
      <c r="C65" s="23">
        <f t="shared" si="18"/>
        <v>141.22667503568732</v>
      </c>
      <c r="D65" s="23">
        <f t="shared" si="18"/>
        <v>150.50667503568732</v>
      </c>
      <c r="E65" s="23">
        <f t="shared" si="18"/>
        <v>150.50667503568732</v>
      </c>
      <c r="F65" s="90">
        <f t="shared" si="18"/>
        <v>145.91667503568732</v>
      </c>
      <c r="G65" s="90">
        <f t="shared" si="18"/>
        <v>145.91667503568732</v>
      </c>
      <c r="H65" s="23">
        <f t="shared" si="18"/>
        <v>143.54169789425305</v>
      </c>
      <c r="I65" s="23">
        <f t="shared" si="18"/>
        <v>143.80169789425304</v>
      </c>
      <c r="J65" s="179">
        <v>144.72667503568732</v>
      </c>
      <c r="K65" s="179">
        <v>144.72667503568732</v>
      </c>
      <c r="L65" s="179">
        <f t="shared" ref="L65:Q65" si="19">L17-L23-L51+L21+L33</f>
        <v>138.510198111054</v>
      </c>
      <c r="M65" s="179">
        <f t="shared" si="19"/>
        <v>138.510198111054</v>
      </c>
      <c r="N65" s="179">
        <f t="shared" si="19"/>
        <v>145.86667503568734</v>
      </c>
      <c r="O65" s="179">
        <f t="shared" si="19"/>
        <v>145.86667503568734</v>
      </c>
      <c r="P65" s="179">
        <f t="shared" si="19"/>
        <v>140.89019811105399</v>
      </c>
      <c r="Q65" s="179">
        <f t="shared" si="19"/>
        <v>140.89019811105399</v>
      </c>
      <c r="R65" s="179">
        <f>R17-R23-R51+R21+R33</f>
        <v>144.72667503568732</v>
      </c>
      <c r="S65" s="179">
        <f>S17-S23-S51+S21+S33</f>
        <v>144.72667503568732</v>
      </c>
      <c r="T65" s="179">
        <f>T17-T23-T51+T21+T33</f>
        <v>146.52667503568733</v>
      </c>
      <c r="U65" s="179">
        <f>U17-U23-U51+U21+U33</f>
        <v>146.52667503568733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J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7" width="15.640625" style="3" customWidth="1"/>
    <col min="8" max="8" width="15.5703125" style="2" customWidth="1"/>
    <col min="9" max="10" width="15.5703125" style="3" customWidth="1"/>
    <col min="11" max="16384" width="9" style="3"/>
  </cols>
  <sheetData>
    <row r="1" spans="1:10" ht="14.25" customHeight="1">
      <c r="A1" s="4"/>
      <c r="B1" s="202" t="s">
        <v>120</v>
      </c>
      <c r="C1" s="202"/>
      <c r="D1" s="202"/>
      <c r="E1" s="202" t="s">
        <v>128</v>
      </c>
      <c r="F1" s="202"/>
      <c r="G1" s="202"/>
      <c r="H1" s="202" t="s">
        <v>129</v>
      </c>
      <c r="I1" s="202"/>
      <c r="J1" s="202"/>
    </row>
    <row r="2" spans="1:1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</row>
    <row r="3" spans="1:10">
      <c r="A3" s="8" t="s">
        <v>11</v>
      </c>
      <c r="B3" s="9">
        <v>4</v>
      </c>
      <c r="C3" s="9">
        <v>4</v>
      </c>
      <c r="D3" s="9">
        <v>4</v>
      </c>
      <c r="E3" s="164">
        <v>2.6</v>
      </c>
      <c r="F3" s="164">
        <v>2.6</v>
      </c>
      <c r="G3" s="164">
        <v>2.6</v>
      </c>
      <c r="H3" s="178">
        <v>4</v>
      </c>
      <c r="I3" s="178">
        <v>4</v>
      </c>
      <c r="J3" s="178">
        <v>4</v>
      </c>
    </row>
    <row r="4" spans="1:10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</row>
    <row r="5" spans="1:10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</row>
    <row r="6" spans="1:10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</row>
    <row r="7" spans="1:10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</row>
    <row r="8" spans="1:10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</row>
    <row r="9" spans="1:10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</row>
    <row r="10" spans="1:10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</row>
    <row r="11" spans="1:10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</row>
    <row r="12" spans="1:10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</row>
    <row r="13" spans="1:10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</row>
    <row r="14" spans="1:10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</row>
    <row r="15" spans="1:10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</row>
    <row r="16" spans="1:10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</row>
    <row r="17" spans="1:10" ht="28.3">
      <c r="A17" s="8" t="s">
        <v>35</v>
      </c>
      <c r="B17" s="13">
        <f t="shared" ref="B17:G17" si="1">B15+10*LOG10(B42/1000000)</f>
        <v>41.57332496431269</v>
      </c>
      <c r="C17" s="13">
        <f t="shared" si="1"/>
        <v>41.57332496431269</v>
      </c>
      <c r="D17" s="13">
        <f t="shared" si="1"/>
        <v>41.57332496431269</v>
      </c>
      <c r="E17" s="166">
        <f t="shared" si="1"/>
        <v>32.57332496431269</v>
      </c>
      <c r="F17" s="166">
        <f t="shared" si="1"/>
        <v>32.57332496431269</v>
      </c>
      <c r="G17" s="166">
        <f t="shared" si="1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</row>
    <row r="18" spans="1:10" ht="42.45">
      <c r="A18" s="15" t="s">
        <v>37</v>
      </c>
      <c r="B18" s="13">
        <f t="shared" ref="B18:G18" si="2">B19+10*LOG10(B12/B13)-B20</f>
        <v>10.121212547196624</v>
      </c>
      <c r="C18" s="13">
        <f t="shared" si="2"/>
        <v>10.121212547196624</v>
      </c>
      <c r="D18" s="13">
        <f t="shared" si="2"/>
        <v>10.121212547196624</v>
      </c>
      <c r="E18" s="166">
        <f t="shared" si="2"/>
        <v>12.771212547196624</v>
      </c>
      <c r="F18" s="166">
        <f t="shared" si="2"/>
        <v>12.771212547196624</v>
      </c>
      <c r="G18" s="166">
        <f t="shared" si="2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</row>
    <row r="19" spans="1:10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</row>
    <row r="20" spans="1:10" ht="42.45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</row>
    <row r="21" spans="1:10" ht="61.5" customHeight="1">
      <c r="A21" s="33" t="s">
        <v>43</v>
      </c>
      <c r="B21" s="17">
        <f>10*LOG10(B13/B14)-8</f>
        <v>7.0514997831990609</v>
      </c>
      <c r="C21" s="17">
        <f t="shared" ref="C21:D21" si="3">10*LOG10(C13/C14)-8</f>
        <v>7.0514997831990609</v>
      </c>
      <c r="D21" s="17">
        <f t="shared" si="3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</row>
    <row r="22" spans="1:10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</row>
    <row r="23" spans="1:10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</row>
    <row r="24" spans="1:10" ht="28.3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</row>
    <row r="25" spans="1:10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</row>
    <row r="26" spans="1:10">
      <c r="A26" s="8" t="s">
        <v>51</v>
      </c>
      <c r="B26" s="13">
        <f t="shared" ref="B26:G26" si="4">B17+B18+B21-B23-B24</f>
        <v>55.746037294708373</v>
      </c>
      <c r="C26" s="13">
        <f t="shared" si="4"/>
        <v>55.746037294708373</v>
      </c>
      <c r="D26" s="13">
        <f t="shared" si="4"/>
        <v>55.746037294708373</v>
      </c>
      <c r="E26" s="166">
        <f t="shared" si="4"/>
        <v>50.344537511509316</v>
      </c>
      <c r="F26" s="166">
        <f t="shared" si="4"/>
        <v>50.344537511509316</v>
      </c>
      <c r="G26" s="166">
        <f t="shared" si="4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</row>
    <row r="27" spans="1:10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</row>
    <row r="28" spans="1:10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</row>
    <row r="29" spans="1:10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</row>
    <row r="30" spans="1:10" ht="56.6">
      <c r="A30" s="8" t="s">
        <v>56</v>
      </c>
      <c r="B30" s="13">
        <f t="shared" ref="B30:G30" si="5">B31+10*LOG10(B28/B29)-B32</f>
        <v>0</v>
      </c>
      <c r="C30" s="13">
        <f t="shared" si="5"/>
        <v>-3</v>
      </c>
      <c r="D30" s="13">
        <f t="shared" si="5"/>
        <v>-3</v>
      </c>
      <c r="E30" s="166">
        <f t="shared" si="5"/>
        <v>0</v>
      </c>
      <c r="F30" s="166">
        <f t="shared" si="5"/>
        <v>-3</v>
      </c>
      <c r="G30" s="166">
        <f t="shared" si="5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</row>
    <row r="31" spans="1:10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</row>
    <row r="32" spans="1:10" ht="42.45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</row>
    <row r="33" spans="1:10" ht="28.3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</row>
    <row r="34" spans="1:10" ht="28.3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</row>
    <row r="35" spans="1:10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</row>
    <row r="36" spans="1:10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</row>
    <row r="37" spans="1:10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</row>
    <row r="38" spans="1:10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</row>
    <row r="39" spans="1:10" ht="28.3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</row>
    <row r="40" spans="1:10" ht="28.3">
      <c r="A40" s="8" t="s">
        <v>107</v>
      </c>
      <c r="B40" s="13">
        <f t="shared" ref="B40:G40" si="6">10*LOG10(10^((B35+B36)/10)+10^(B38/10))</f>
        <v>-164.98918835931039</v>
      </c>
      <c r="C40" s="13">
        <f t="shared" si="6"/>
        <v>-164.98918835931039</v>
      </c>
      <c r="D40" s="13">
        <f t="shared" si="6"/>
        <v>-164.98918835931039</v>
      </c>
      <c r="E40" s="166">
        <f t="shared" si="6"/>
        <v>-167.00000000000003</v>
      </c>
      <c r="F40" s="166">
        <f t="shared" si="6"/>
        <v>-167.00000000000003</v>
      </c>
      <c r="G40" s="166">
        <f t="shared" si="6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</row>
    <row r="41" spans="1:10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</row>
    <row r="42" spans="1:10">
      <c r="A42" s="35" t="s">
        <v>70</v>
      </c>
      <c r="B42" s="17">
        <f>20*360*1000</f>
        <v>7200000</v>
      </c>
      <c r="C42" s="17">
        <f t="shared" ref="C42:D42" si="7">20*360*1000</f>
        <v>7200000</v>
      </c>
      <c r="D42" s="17">
        <f t="shared" si="7"/>
        <v>7200000</v>
      </c>
      <c r="E42" s="169">
        <f>20*360*1000</f>
        <v>7200000</v>
      </c>
      <c r="F42" s="169">
        <f t="shared" ref="F42:G42" si="8">20*360*1000</f>
        <v>7200000</v>
      </c>
      <c r="G42" s="169">
        <f t="shared" si="8"/>
        <v>7200000</v>
      </c>
      <c r="H42" s="182">
        <f>20*360*1000</f>
        <v>7200000</v>
      </c>
      <c r="I42" s="182">
        <f t="shared" ref="I42:J42" si="9">20*360*1000</f>
        <v>7200000</v>
      </c>
      <c r="J42" s="182">
        <f t="shared" si="9"/>
        <v>7200000</v>
      </c>
    </row>
    <row r="43" spans="1:10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</row>
    <row r="44" spans="1:10">
      <c r="A44" s="8" t="s">
        <v>72</v>
      </c>
      <c r="B44" s="13">
        <f t="shared" ref="B44:G44" si="10">B40+10*LOG10(B42)</f>
        <v>-96.415863394997714</v>
      </c>
      <c r="C44" s="13">
        <f t="shared" si="10"/>
        <v>-96.415863394997714</v>
      </c>
      <c r="D44" s="13">
        <f t="shared" si="10"/>
        <v>-96.415863394997714</v>
      </c>
      <c r="E44" s="166">
        <f t="shared" si="10"/>
        <v>-98.426675035687353</v>
      </c>
      <c r="F44" s="166">
        <f t="shared" si="10"/>
        <v>-98.426675035687353</v>
      </c>
      <c r="G44" s="166">
        <f t="shared" si="10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</row>
    <row r="45" spans="1:10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</row>
    <row r="46" spans="1:10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</row>
    <row r="47" spans="1:10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</row>
    <row r="48" spans="1:10" ht="28.3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</row>
    <row r="49" spans="1:10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</row>
    <row r="50" spans="1:10" ht="28.3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</row>
    <row r="51" spans="1:10" ht="28.3">
      <c r="A51" s="8" t="s">
        <v>82</v>
      </c>
      <c r="B51" s="13">
        <f t="shared" ref="B51:G51" si="11">B44+B46+B47-B49</f>
        <v>-106.03586339499772</v>
      </c>
      <c r="C51" s="13">
        <f t="shared" si="11"/>
        <v>-103.57586339499771</v>
      </c>
      <c r="D51" s="13">
        <f t="shared" si="11"/>
        <v>-100.88586339499771</v>
      </c>
      <c r="E51" s="166">
        <f t="shared" si="11"/>
        <v>-108.42667503568735</v>
      </c>
      <c r="F51" s="166">
        <f t="shared" si="11"/>
        <v>-105.42667503568735</v>
      </c>
      <c r="G51" s="166">
        <f t="shared" si="11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</row>
    <row r="52" spans="1:10" ht="28.3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</row>
    <row r="53" spans="1:10" ht="28.3">
      <c r="A53" s="22" t="s">
        <v>85</v>
      </c>
      <c r="B53" s="23">
        <f>B26+B30+B33-B34-B51</f>
        <v>160.78190068970611</v>
      </c>
      <c r="C53" s="23">
        <f t="shared" ref="C53:D53" si="12">C26+C30+C33-C34-C51</f>
        <v>155.32190068970607</v>
      </c>
      <c r="D53" s="23">
        <f t="shared" si="12"/>
        <v>152.63190068970607</v>
      </c>
      <c r="E53" s="171">
        <f>E26+E30+E33-E34-E51</f>
        <v>157.77121254719668</v>
      </c>
      <c r="F53" s="171">
        <f t="shared" ref="F53:G53" si="13">F26+F30+F33-F34-F51</f>
        <v>151.77121254719668</v>
      </c>
      <c r="G53" s="171">
        <f t="shared" si="13"/>
        <v>148.77121254719668</v>
      </c>
      <c r="H53" s="179">
        <f>H26+H30+H33-H34-H51</f>
        <v>150.87121254719665</v>
      </c>
      <c r="I53" s="179">
        <f t="shared" ref="I53:J53" si="14">I26+I30+I33-I34-I51</f>
        <v>144.97121254719667</v>
      </c>
      <c r="J53" s="179">
        <f t="shared" si="14"/>
        <v>141.37121254719665</v>
      </c>
    </row>
    <row r="54" spans="1:10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</row>
    <row r="55" spans="1:10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</row>
    <row r="56" spans="1:10" ht="28.3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</row>
    <row r="57" spans="1:10" ht="28.3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</row>
    <row r="58" spans="1:10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</row>
    <row r="59" spans="1:10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</row>
    <row r="60" spans="1:10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</row>
    <row r="61" spans="1:10" ht="28.3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</row>
    <row r="62" spans="1:10" ht="28.3">
      <c r="A62" s="22" t="s">
        <v>109</v>
      </c>
      <c r="B62" s="23">
        <f>B53-B57+B58-B59+B60</f>
        <v>126.9719006897061</v>
      </c>
      <c r="C62" s="23">
        <f t="shared" ref="C62:D62" si="15">C53-C57+C58-C59+C60</f>
        <v>121.51190068970607</v>
      </c>
      <c r="D62" s="23">
        <f t="shared" si="15"/>
        <v>118.82190068970607</v>
      </c>
      <c r="E62" s="171">
        <f>E53-E57+E58-E59+E60</f>
        <v>127.04121254719669</v>
      </c>
      <c r="F62" s="171">
        <f t="shared" ref="F62:G62" si="16">F53-F57+F58-F59+F60</f>
        <v>121.04121254719669</v>
      </c>
      <c r="G62" s="171">
        <f t="shared" si="16"/>
        <v>118.04121254719669</v>
      </c>
      <c r="H62" s="179">
        <f>H53-H57+H58-H59+H60</f>
        <v>120.14121254719666</v>
      </c>
      <c r="I62" s="179">
        <f t="shared" ref="I62:J62" si="17">I53-I57+I58-I59+I60</f>
        <v>114.24121254719668</v>
      </c>
      <c r="J62" s="179">
        <f t="shared" si="17"/>
        <v>110.64121254719666</v>
      </c>
    </row>
    <row r="63" spans="1:10">
      <c r="C63" s="2"/>
      <c r="D63" s="2"/>
      <c r="E63" s="173"/>
      <c r="F63" s="173"/>
      <c r="G63" s="173"/>
      <c r="I63" s="2"/>
      <c r="J63" s="2"/>
    </row>
    <row r="64" spans="1:10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</row>
    <row r="65" spans="1:10">
      <c r="A65" s="22" t="s">
        <v>98</v>
      </c>
      <c r="B65" s="23">
        <f t="shared" ref="B65:G65" si="18">B17-B23-B51+B21+B33</f>
        <v>154.66068814250946</v>
      </c>
      <c r="C65" s="23">
        <f t="shared" si="18"/>
        <v>152.20068814250948</v>
      </c>
      <c r="D65" s="23">
        <f t="shared" si="18"/>
        <v>149.51068814250948</v>
      </c>
      <c r="E65" s="171">
        <f t="shared" si="18"/>
        <v>149.00000000000006</v>
      </c>
      <c r="F65" s="171">
        <f t="shared" si="18"/>
        <v>146.00000000000006</v>
      </c>
      <c r="G65" s="171">
        <f t="shared" si="18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</row>
  </sheetData>
  <mergeCells count="3">
    <mergeCell ref="B1:D1"/>
    <mergeCell ref="E1:G1"/>
    <mergeCell ref="H1:J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2" customWidth="1"/>
    <col min="7" max="7" width="15.640625" style="3" customWidth="1"/>
    <col min="8" max="8" width="15.5703125" style="2" customWidth="1"/>
    <col min="9" max="9" width="15.5703125" style="3" customWidth="1"/>
    <col min="10" max="16384" width="9" style="3"/>
  </cols>
  <sheetData>
    <row r="1" spans="1:9" ht="14.25" customHeight="1">
      <c r="A1" s="4"/>
      <c r="B1" s="202" t="s">
        <v>114</v>
      </c>
      <c r="C1" s="202"/>
      <c r="D1" s="202" t="s">
        <v>123</v>
      </c>
      <c r="E1" s="202"/>
      <c r="F1" s="202" t="s">
        <v>128</v>
      </c>
      <c r="G1" s="202"/>
      <c r="H1" s="202" t="s">
        <v>129</v>
      </c>
      <c r="I1" s="202"/>
    </row>
    <row r="2" spans="1:9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</row>
    <row r="3" spans="1:9">
      <c r="A3" s="8" t="s">
        <v>11</v>
      </c>
      <c r="B3" s="9">
        <v>4</v>
      </c>
      <c r="C3" s="9">
        <v>4</v>
      </c>
      <c r="D3" s="178">
        <v>4</v>
      </c>
      <c r="E3" s="178">
        <v>4</v>
      </c>
      <c r="F3" s="178">
        <v>2.6</v>
      </c>
      <c r="G3" s="178">
        <v>2.6</v>
      </c>
      <c r="H3" s="178">
        <v>4</v>
      </c>
      <c r="I3" s="178">
        <v>4</v>
      </c>
    </row>
    <row r="4" spans="1:9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</row>
    <row r="5" spans="1:9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</row>
    <row r="6" spans="1:9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</row>
    <row r="7" spans="1:9" ht="28.3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</row>
    <row r="8" spans="1:9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</row>
    <row r="9" spans="1:9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</row>
    <row r="10" spans="1:9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</row>
    <row r="11" spans="1:9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</row>
    <row r="12" spans="1:9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</row>
    <row r="13" spans="1:9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</row>
    <row r="14" spans="1:9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</row>
    <row r="15" spans="1:9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</row>
    <row r="16" spans="1:9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</row>
    <row r="17" spans="1:9" ht="28.3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</row>
    <row r="18" spans="1:9" ht="42.45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</row>
    <row r="19" spans="1:9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</row>
    <row r="20" spans="1:9" ht="42.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</row>
    <row r="22" spans="1:9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</row>
    <row r="23" spans="1:9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</row>
    <row r="24" spans="1:9" ht="28.3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</row>
    <row r="25" spans="1:9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</row>
    <row r="26" spans="1:9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</row>
    <row r="27" spans="1:9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</row>
    <row r="28" spans="1:9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</row>
    <row r="29" spans="1:9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</row>
    <row r="30" spans="1:9" ht="56.6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</row>
    <row r="31" spans="1:9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</row>
    <row r="32" spans="1:9" ht="42.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</row>
    <row r="33" spans="1:9" ht="28.3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</row>
    <row r="34" spans="1:9" ht="28.3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</row>
    <row r="35" spans="1:9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</row>
    <row r="36" spans="1:9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</row>
    <row r="37" spans="1:9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</row>
    <row r="38" spans="1:9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</row>
    <row r="39" spans="1:9" ht="28.3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</row>
    <row r="40" spans="1:9" ht="28.3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</row>
    <row r="41" spans="1:9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</row>
    <row r="42" spans="1:9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</row>
    <row r="43" spans="1:9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</row>
    <row r="44" spans="1:9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</row>
    <row r="45" spans="1:9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</row>
    <row r="46" spans="1:9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</row>
    <row r="47" spans="1:9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</row>
    <row r="48" spans="1:9" ht="28.3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</row>
    <row r="50" spans="1:9" ht="28.3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</row>
    <row r="51" spans="1:9" ht="28.3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</row>
    <row r="52" spans="1:9" ht="28.3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</row>
    <row r="53" spans="1:9" ht="28.3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</row>
    <row r="54" spans="1:9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</row>
    <row r="55" spans="1:9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</row>
    <row r="56" spans="1:9" ht="28.3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</row>
    <row r="57" spans="1:9" ht="28.3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</row>
    <row r="58" spans="1:9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</row>
    <row r="59" spans="1:9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</row>
    <row r="60" spans="1:9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</row>
    <row r="61" spans="1:9" ht="28.3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</row>
    <row r="62" spans="1:9" ht="28.3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</row>
    <row r="63" spans="1:9">
      <c r="C63" s="2"/>
      <c r="E63" s="2"/>
      <c r="G63" s="2"/>
      <c r="I63" s="2"/>
    </row>
    <row r="64" spans="1:9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</row>
    <row r="65" spans="1:9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40625" style="50" customWidth="1"/>
    <col min="2" max="4" width="15.640625" style="2" customWidth="1"/>
    <col min="5" max="5" width="15.640625" style="46" customWidth="1"/>
    <col min="6" max="6" width="38.5" style="1" customWidth="1"/>
    <col min="7" max="7" width="20.2109375" style="3" customWidth="1"/>
    <col min="8" max="16384" width="9" style="3"/>
  </cols>
  <sheetData>
    <row r="1" spans="1:6">
      <c r="A1" s="51" t="s">
        <v>0</v>
      </c>
    </row>
    <row r="2" spans="1:6" ht="28.3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.3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.3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.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.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.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2.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6.6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6.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.3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.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0.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56.6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.6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6.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.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.3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.3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.3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.3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.3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.3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.3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8.3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8.3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8.3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8.3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8.3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7" ht="28.3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7" ht="28.3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7" ht="28.3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8.3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tabSelected="1" workbookViewId="0">
      <pane xSplit="1" ySplit="1" topLeftCell="V2" activePane="bottomRight" state="frozen"/>
      <selection pane="topRight"/>
      <selection pane="bottomLeft"/>
      <selection pane="bottomRight" activeCell="AB1" sqref="AB1:AD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2" width="15.640625" style="3" customWidth="1"/>
    <col min="13" max="13" width="18.140625" style="3" customWidth="1"/>
    <col min="14" max="14" width="21.2109375" style="3" customWidth="1"/>
    <col min="15" max="15" width="19.14062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5703125" style="2" customWidth="1"/>
    <col min="29" max="30" width="15.57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114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</row>
    <row r="7" spans="1:30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</row>
    <row r="8" spans="1:30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</row>
    <row r="17" spans="1:30" ht="28.3">
      <c r="A17" s="8" t="s">
        <v>35</v>
      </c>
      <c r="B17" s="29">
        <f t="shared" ref="B17:L17" si="3">B15+10*LOG10(B41/1000000)</f>
        <v>45.375437381428746</v>
      </c>
      <c r="C17" s="29">
        <f t="shared" si="3"/>
        <v>45.375437381428746</v>
      </c>
      <c r="D17" s="29">
        <f t="shared" si="3"/>
        <v>45.375437381428746</v>
      </c>
      <c r="E17" s="29">
        <f t="shared" si="3"/>
        <v>36.375437381428746</v>
      </c>
      <c r="F17" s="29">
        <f t="shared" si="3"/>
        <v>36.375437381428746</v>
      </c>
      <c r="G17" s="73">
        <f t="shared" si="3"/>
        <v>36.375437381428746</v>
      </c>
      <c r="H17" s="73">
        <f t="shared" si="3"/>
        <v>36.375437381428746</v>
      </c>
      <c r="I17" s="73">
        <f t="shared" si="3"/>
        <v>36.375437381428746</v>
      </c>
      <c r="J17" s="13">
        <f t="shared" si="3"/>
        <v>45.375437381428746</v>
      </c>
      <c r="K17" s="13">
        <f t="shared" si="3"/>
        <v>45.375437381428746</v>
      </c>
      <c r="L17" s="13">
        <f t="shared" si="3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4">P15+10*LOG10(P41/1000000)</f>
        <v>45.375437381428746</v>
      </c>
      <c r="Q17" s="164">
        <f t="shared" si="4"/>
        <v>45.375437381428746</v>
      </c>
      <c r="R17" s="164">
        <f t="shared" si="4"/>
        <v>45.375437381428746</v>
      </c>
      <c r="S17" s="166">
        <f t="shared" si="4"/>
        <v>36.375437381428746</v>
      </c>
      <c r="T17" s="166">
        <f t="shared" si="4"/>
        <v>36.375437381428746</v>
      </c>
      <c r="U17" s="166">
        <f t="shared" si="4"/>
        <v>36.375437381428746</v>
      </c>
      <c r="V17" s="166">
        <f t="shared" ref="V17:AA17" si="5">V15+10*LOG10(V41/1000000)</f>
        <v>45.375437381428746</v>
      </c>
      <c r="W17" s="166">
        <f t="shared" si="5"/>
        <v>45.375437381428746</v>
      </c>
      <c r="X17" s="166">
        <f t="shared" si="5"/>
        <v>45.375437381428746</v>
      </c>
      <c r="Y17" s="166">
        <f t="shared" si="5"/>
        <v>36.375437381428746</v>
      </c>
      <c r="Z17" s="166">
        <f t="shared" si="5"/>
        <v>36.375437381428746</v>
      </c>
      <c r="AA17" s="166">
        <f t="shared" si="5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</row>
    <row r="18" spans="1:30" ht="42.45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9">10*LOG10(K13/K14)</f>
        <v>15.051499783199061</v>
      </c>
      <c r="L21" s="17">
        <f t="shared" si="9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9">
        <f t="shared" ref="B25:L25" si="10">B17+B18+B21+B22-B24</f>
        <v>67.146649928625379</v>
      </c>
      <c r="C25" s="29">
        <f t="shared" si="10"/>
        <v>67.146649928625379</v>
      </c>
      <c r="D25" s="29">
        <f t="shared" si="10"/>
        <v>67.146649928625379</v>
      </c>
      <c r="E25" s="29">
        <f t="shared" si="10"/>
        <v>55.236649928625368</v>
      </c>
      <c r="F25" s="29">
        <f t="shared" si="10"/>
        <v>55.236649928625368</v>
      </c>
      <c r="G25" s="73">
        <f t="shared" si="10"/>
        <v>58.146649928625372</v>
      </c>
      <c r="H25" s="73">
        <f t="shared" si="10"/>
        <v>58.146649928625372</v>
      </c>
      <c r="I25" s="73">
        <f t="shared" si="10"/>
        <v>58.146649928625372</v>
      </c>
      <c r="J25" s="13">
        <f t="shared" si="10"/>
        <v>67.548149711824436</v>
      </c>
      <c r="K25" s="13">
        <f t="shared" si="10"/>
        <v>67.548149711824436</v>
      </c>
      <c r="L25" s="13">
        <f t="shared" si="10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1">P17+P18+P21+P22-P24</f>
        <v>70.196649928625376</v>
      </c>
      <c r="Q25" s="164">
        <f t="shared" si="11"/>
        <v>70.196649928625376</v>
      </c>
      <c r="R25" s="164">
        <f t="shared" si="11"/>
        <v>70.196649928625376</v>
      </c>
      <c r="S25" s="166">
        <f t="shared" si="11"/>
        <v>58.146649928625372</v>
      </c>
      <c r="T25" s="166">
        <f t="shared" si="11"/>
        <v>58.146649928625372</v>
      </c>
      <c r="U25" s="166">
        <f t="shared" si="11"/>
        <v>58.146649928625372</v>
      </c>
      <c r="V25" s="166">
        <f t="shared" ref="V25:AA25" si="12">V17+V18+V21+V22-V24</f>
        <v>67.146649928625379</v>
      </c>
      <c r="W25" s="166">
        <f t="shared" si="12"/>
        <v>67.146649928625379</v>
      </c>
      <c r="X25" s="166">
        <f t="shared" si="12"/>
        <v>67.146649928625379</v>
      </c>
      <c r="Y25" s="166">
        <f t="shared" si="12"/>
        <v>58.146649928625372</v>
      </c>
      <c r="Z25" s="166">
        <f t="shared" si="12"/>
        <v>58.146649928625372</v>
      </c>
      <c r="AA25" s="166">
        <f t="shared" si="12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</row>
    <row r="26" spans="1:30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56.6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03">
        <v>0</v>
      </c>
      <c r="N30" s="103">
        <v>-3</v>
      </c>
      <c r="O30" s="103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</row>
    <row r="38" spans="1:30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</row>
    <row r="39" spans="1:30" ht="28.3">
      <c r="A39" s="8" t="s">
        <v>106</v>
      </c>
      <c r="B39" s="29">
        <f t="shared" ref="B39:L39" si="16">10*LOG10(10^((B35+B36)/10)+10^(B37/10))</f>
        <v>-167.00000000000003</v>
      </c>
      <c r="C39" s="29">
        <f t="shared" si="16"/>
        <v>-167.00000000000003</v>
      </c>
      <c r="D39" s="29">
        <f t="shared" si="16"/>
        <v>-167.00000000000003</v>
      </c>
      <c r="E39" s="29">
        <f t="shared" si="16"/>
        <v>-167.00000000000003</v>
      </c>
      <c r="F39" s="29">
        <f t="shared" si="16"/>
        <v>-167.00000000000003</v>
      </c>
      <c r="G39" s="73">
        <f t="shared" si="16"/>
        <v>-167.00000000000003</v>
      </c>
      <c r="H39" s="73">
        <f t="shared" si="16"/>
        <v>-167.00000000000003</v>
      </c>
      <c r="I39" s="73">
        <f t="shared" si="16"/>
        <v>-167.00000000000003</v>
      </c>
      <c r="J39" s="13">
        <f t="shared" si="16"/>
        <v>-164.98918835931039</v>
      </c>
      <c r="K39" s="13">
        <f t="shared" si="16"/>
        <v>-164.98918835931039</v>
      </c>
      <c r="L39" s="13">
        <f t="shared" si="16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17">10*LOG10(10^((P35+P36)/10)+10^(P37/10))</f>
        <v>-164.98918835931039</v>
      </c>
      <c r="Q39" s="164">
        <f t="shared" si="17"/>
        <v>-164.98918835931039</v>
      </c>
      <c r="R39" s="164">
        <f t="shared" si="17"/>
        <v>-164.98918835931039</v>
      </c>
      <c r="S39" s="166">
        <f t="shared" si="17"/>
        <v>-167.00000000000003</v>
      </c>
      <c r="T39" s="166">
        <f t="shared" si="17"/>
        <v>-167.00000000000003</v>
      </c>
      <c r="U39" s="166">
        <f t="shared" si="17"/>
        <v>-167.00000000000003</v>
      </c>
      <c r="V39" s="166">
        <f t="shared" ref="V39:AA39" si="18">10*LOG10(10^((V35+V36)/10)+10^(V37/10))</f>
        <v>-164.98918835931039</v>
      </c>
      <c r="W39" s="166">
        <f t="shared" si="18"/>
        <v>-164.98918835931039</v>
      </c>
      <c r="X39" s="166">
        <f t="shared" si="18"/>
        <v>-164.98918835931039</v>
      </c>
      <c r="Y39" s="166">
        <f t="shared" si="18"/>
        <v>-167.00000000000003</v>
      </c>
      <c r="Z39" s="166">
        <f t="shared" si="18"/>
        <v>-167.00000000000003</v>
      </c>
      <c r="AA39" s="166">
        <f t="shared" si="18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</row>
    <row r="40" spans="1:30" ht="28.3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</row>
    <row r="41" spans="1:30">
      <c r="A41" s="21" t="s">
        <v>68</v>
      </c>
      <c r="B41" s="29">
        <f t="shared" ref="B41:L41" si="19">48*360*1000</f>
        <v>17280000</v>
      </c>
      <c r="C41" s="29">
        <f t="shared" si="19"/>
        <v>17280000</v>
      </c>
      <c r="D41" s="29">
        <f t="shared" si="19"/>
        <v>17280000</v>
      </c>
      <c r="E41" s="29">
        <f t="shared" si="19"/>
        <v>17280000</v>
      </c>
      <c r="F41" s="29">
        <f t="shared" si="19"/>
        <v>17280000</v>
      </c>
      <c r="G41" s="73">
        <f t="shared" si="19"/>
        <v>17280000</v>
      </c>
      <c r="H41" s="73">
        <f t="shared" si="19"/>
        <v>17280000</v>
      </c>
      <c r="I41" s="73">
        <f t="shared" si="19"/>
        <v>17280000</v>
      </c>
      <c r="J41" s="13">
        <f t="shared" si="19"/>
        <v>17280000</v>
      </c>
      <c r="K41" s="13">
        <f t="shared" si="19"/>
        <v>17280000</v>
      </c>
      <c r="L41" s="13">
        <f t="shared" si="19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0">48*360*1000</f>
        <v>17280000</v>
      </c>
      <c r="Q41" s="164">
        <f t="shared" si="20"/>
        <v>17280000</v>
      </c>
      <c r="R41" s="164">
        <f t="shared" si="20"/>
        <v>17280000</v>
      </c>
      <c r="S41" s="166">
        <f t="shared" si="20"/>
        <v>17280000</v>
      </c>
      <c r="T41" s="166">
        <f t="shared" si="20"/>
        <v>17280000</v>
      </c>
      <c r="U41" s="166">
        <f t="shared" si="20"/>
        <v>17280000</v>
      </c>
      <c r="V41" s="166">
        <f t="shared" ref="V41:AA41" si="21">48*360*1000</f>
        <v>17280000</v>
      </c>
      <c r="W41" s="166">
        <f t="shared" si="21"/>
        <v>17280000</v>
      </c>
      <c r="X41" s="166">
        <f t="shared" si="21"/>
        <v>17280000</v>
      </c>
      <c r="Y41" s="166">
        <f t="shared" si="21"/>
        <v>17280000</v>
      </c>
      <c r="Z41" s="166">
        <f t="shared" si="21"/>
        <v>17280000</v>
      </c>
      <c r="AA41" s="166">
        <f t="shared" si="21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</row>
    <row r="42" spans="1:30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</row>
    <row r="43" spans="1:30">
      <c r="A43" s="8" t="s">
        <v>71</v>
      </c>
      <c r="B43" s="29">
        <f t="shared" ref="B43:L43" si="22">B39+10*LOG10(B41)</f>
        <v>-94.624562618571289</v>
      </c>
      <c r="C43" s="29">
        <f t="shared" si="22"/>
        <v>-94.624562618571289</v>
      </c>
      <c r="D43" s="29">
        <f t="shared" si="22"/>
        <v>-94.624562618571289</v>
      </c>
      <c r="E43" s="29">
        <f t="shared" si="22"/>
        <v>-94.624562618571289</v>
      </c>
      <c r="F43" s="29">
        <f t="shared" si="22"/>
        <v>-94.624562618571289</v>
      </c>
      <c r="G43" s="73">
        <f t="shared" si="22"/>
        <v>-94.624562618571289</v>
      </c>
      <c r="H43" s="73">
        <f t="shared" si="22"/>
        <v>-94.624562618571289</v>
      </c>
      <c r="I43" s="73">
        <f t="shared" si="22"/>
        <v>-94.624562618571289</v>
      </c>
      <c r="J43" s="13">
        <f t="shared" si="22"/>
        <v>-92.613750977881651</v>
      </c>
      <c r="K43" s="13">
        <f t="shared" si="22"/>
        <v>-92.613750977881651</v>
      </c>
      <c r="L43" s="13">
        <f t="shared" si="22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23">P39+10*LOG10(P41)</f>
        <v>-92.613750977881651</v>
      </c>
      <c r="Q43" s="164">
        <f t="shared" si="23"/>
        <v>-92.613750977881651</v>
      </c>
      <c r="R43" s="164">
        <f t="shared" si="23"/>
        <v>-92.613750977881651</v>
      </c>
      <c r="S43" s="166">
        <f t="shared" si="23"/>
        <v>-94.624562618571289</v>
      </c>
      <c r="T43" s="166">
        <f t="shared" si="23"/>
        <v>-94.624562618571289</v>
      </c>
      <c r="U43" s="166">
        <f t="shared" si="23"/>
        <v>-94.624562618571289</v>
      </c>
      <c r="V43" s="166">
        <f t="shared" ref="V43:AA43" si="24">V39+10*LOG10(V41)</f>
        <v>-92.613750977881651</v>
      </c>
      <c r="W43" s="166">
        <f t="shared" si="24"/>
        <v>-92.613750977881651</v>
      </c>
      <c r="X43" s="166">
        <f t="shared" si="24"/>
        <v>-92.613750977881651</v>
      </c>
      <c r="Y43" s="166">
        <f t="shared" si="24"/>
        <v>-94.624562618571289</v>
      </c>
      <c r="Z43" s="166">
        <f t="shared" si="24"/>
        <v>-94.624562618571289</v>
      </c>
      <c r="AA43" s="166">
        <f t="shared" si="24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</row>
    <row r="44" spans="1:30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</row>
    <row r="45" spans="1:30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</row>
    <row r="46" spans="1:30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.3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</row>
    <row r="49" spans="1:30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</row>
    <row r="50" spans="1:30" ht="28.3">
      <c r="A50" s="8" t="s">
        <v>80</v>
      </c>
      <c r="B50" s="29">
        <f t="shared" ref="B50:L50" si="25">B43+B45+B47-B48</f>
        <v>-103.92456261857129</v>
      </c>
      <c r="C50" s="29">
        <f t="shared" si="25"/>
        <v>-100.92456261857129</v>
      </c>
      <c r="D50" s="29">
        <f t="shared" si="25"/>
        <v>-97.424562618571287</v>
      </c>
      <c r="E50" s="29">
        <f t="shared" si="25"/>
        <v>-103.98456261857129</v>
      </c>
      <c r="F50" s="29">
        <f t="shared" si="25"/>
        <v>-97.754562618571285</v>
      </c>
      <c r="G50" s="73">
        <f t="shared" si="25"/>
        <v>-105.30456261857128</v>
      </c>
      <c r="H50" s="73">
        <f t="shared" si="25"/>
        <v>-102.00456261857128</v>
      </c>
      <c r="I50" s="73">
        <f t="shared" si="25"/>
        <v>-98.034562618571286</v>
      </c>
      <c r="J50" s="13">
        <f t="shared" si="25"/>
        <v>-99.113750977881651</v>
      </c>
      <c r="K50" s="13">
        <f t="shared" si="25"/>
        <v>-96.47375097788165</v>
      </c>
      <c r="L50" s="13">
        <f t="shared" si="25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26">P43+P45+P47-P48</f>
        <v>-99.213750977881645</v>
      </c>
      <c r="Q50" s="164">
        <f t="shared" si="26"/>
        <v>-96.313750977881654</v>
      </c>
      <c r="R50" s="164">
        <f t="shared" si="26"/>
        <v>-92.313750977881654</v>
      </c>
      <c r="S50" s="166">
        <f t="shared" si="26"/>
        <v>-103.63456261857129</v>
      </c>
      <c r="T50" s="166">
        <f t="shared" si="26"/>
        <v>-100.70456261857129</v>
      </c>
      <c r="U50" s="166">
        <f t="shared" si="26"/>
        <v>-97.424562618571287</v>
      </c>
      <c r="V50" s="166">
        <f t="shared" ref="V50:AA50" si="27">V43+V45+V47-V48</f>
        <v>-101.86375097788165</v>
      </c>
      <c r="W50" s="166">
        <f t="shared" si="27"/>
        <v>-98.883750977881647</v>
      </c>
      <c r="X50" s="166">
        <f t="shared" si="27"/>
        <v>-95.393750977881652</v>
      </c>
      <c r="Y50" s="166">
        <f t="shared" si="27"/>
        <v>-102.82456261857129</v>
      </c>
      <c r="Z50" s="166">
        <f t="shared" si="27"/>
        <v>-99.824562618571292</v>
      </c>
      <c r="AA50" s="166">
        <f t="shared" si="27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</row>
    <row r="51" spans="1:30" ht="28.3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</row>
    <row r="52" spans="1:30" ht="28.3">
      <c r="A52" s="22" t="s">
        <v>83</v>
      </c>
      <c r="B52" s="37">
        <f t="shared" ref="B52:G52" si="28">B25+B30+B33-B34-B50</f>
        <v>170.07121254719667</v>
      </c>
      <c r="C52" s="37">
        <f t="shared" si="28"/>
        <v>164.07121254719667</v>
      </c>
      <c r="D52" s="37">
        <f t="shared" si="28"/>
        <v>160.57121254719667</v>
      </c>
      <c r="E52" s="37">
        <f t="shared" si="28"/>
        <v>158.22121254719667</v>
      </c>
      <c r="F52" s="37">
        <f t="shared" si="28"/>
        <v>148.99121254719665</v>
      </c>
      <c r="G52" s="78">
        <f t="shared" si="28"/>
        <v>162.45121254719666</v>
      </c>
      <c r="H52" s="78">
        <f t="shared" ref="H52:L52" si="29">H25+H30+H33-H34-H50</f>
        <v>156.15121254719665</v>
      </c>
      <c r="I52" s="78">
        <f t="shared" si="29"/>
        <v>152.18121254719665</v>
      </c>
      <c r="J52" s="23">
        <f t="shared" si="29"/>
        <v>165.6619006897061</v>
      </c>
      <c r="K52" s="23">
        <f t="shared" si="29"/>
        <v>160.02190068970609</v>
      </c>
      <c r="L52" s="23">
        <f t="shared" si="29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0">Q25+Q30+Q33-Q34-Q50</f>
        <v>162.51040090650702</v>
      </c>
      <c r="R52" s="171">
        <f t="shared" si="30"/>
        <v>158.51040090650702</v>
      </c>
      <c r="S52" s="171">
        <f>S25+S30+S33-S34-S50</f>
        <v>160.78121254719667</v>
      </c>
      <c r="T52" s="171">
        <f t="shared" ref="T52:U52" si="31">T25+T30+T33-T34-T50</f>
        <v>154.85121254719667</v>
      </c>
      <c r="U52" s="171">
        <f t="shared" si="31"/>
        <v>151.57121254719667</v>
      </c>
      <c r="V52" s="171">
        <f>V25+V30+V33-V34-V50</f>
        <v>168.01040090650702</v>
      </c>
      <c r="W52" s="171">
        <f t="shared" ref="W52:X52" si="32">W25+W30+W33-W34-W50</f>
        <v>162.03040090650703</v>
      </c>
      <c r="X52" s="171">
        <f t="shared" si="32"/>
        <v>158.54040090650705</v>
      </c>
      <c r="Y52" s="171">
        <f>Y25+Y30+Y33-Y34-Y50</f>
        <v>159.97121254719667</v>
      </c>
      <c r="Z52" s="171">
        <f t="shared" ref="Z52:AA52" si="33">Z25+Z30+Z33-Z34-Z50</f>
        <v>153.97121254719667</v>
      </c>
      <c r="AA52" s="171">
        <f t="shared" si="33"/>
        <v>150.97121254719667</v>
      </c>
      <c r="AB52" s="179">
        <f>AB25+AB30+AB33-AB34-AB50</f>
        <v>152.97121254719667</v>
      </c>
      <c r="AC52" s="179">
        <f t="shared" ref="AC52:AD52" si="34">AC25+AC30+AC33-AC34-AC50</f>
        <v>146.77121254719665</v>
      </c>
      <c r="AD52" s="179">
        <f t="shared" si="34"/>
        <v>143.77121254719665</v>
      </c>
    </row>
    <row r="53" spans="1:30" ht="28.3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.3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</row>
    <row r="57" spans="1:30" ht="28.3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.3">
      <c r="A61" s="22" t="s">
        <v>108</v>
      </c>
      <c r="B61" s="37">
        <f t="shared" ref="B61:G61" si="35">B52-B56+B58-B59+B60</f>
        <v>136.26121254719666</v>
      </c>
      <c r="C61" s="37">
        <f t="shared" si="35"/>
        <v>130.26121254719666</v>
      </c>
      <c r="D61" s="37">
        <f t="shared" si="35"/>
        <v>126.76121254719666</v>
      </c>
      <c r="E61" s="37">
        <f t="shared" si="35"/>
        <v>124.41121254719667</v>
      </c>
      <c r="F61" s="37">
        <f t="shared" si="35"/>
        <v>115.18121254719665</v>
      </c>
      <c r="G61" s="78">
        <f t="shared" si="35"/>
        <v>128.64121254719666</v>
      </c>
      <c r="H61" s="78">
        <f t="shared" ref="H61:L61" si="36">H52-H56+H58-H59+H60</f>
        <v>122.34121254719665</v>
      </c>
      <c r="I61" s="78">
        <f t="shared" si="36"/>
        <v>118.37121254719665</v>
      </c>
      <c r="J61" s="23">
        <f t="shared" si="36"/>
        <v>131.8519006897061</v>
      </c>
      <c r="K61" s="23">
        <f t="shared" si="36"/>
        <v>126.21190068970608</v>
      </c>
      <c r="L61" s="23">
        <f t="shared" si="36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37">Q52-Q56+Q58-Q59+Q60</f>
        <v>128.680400906507</v>
      </c>
      <c r="R61" s="171">
        <f t="shared" si="37"/>
        <v>124.680400906507</v>
      </c>
      <c r="S61" s="171">
        <f>S52-S56+S58-S59+S60</f>
        <v>126.97121254719667</v>
      </c>
      <c r="T61" s="171">
        <f t="shared" ref="T61:U61" si="38">T52-T56+T58-T59+T60</f>
        <v>121.04121254719666</v>
      </c>
      <c r="U61" s="171">
        <f t="shared" si="38"/>
        <v>117.76121254719666</v>
      </c>
      <c r="V61" s="171">
        <f>V52-V56+V58-V59+V60</f>
        <v>134.20040090650701</v>
      </c>
      <c r="W61" s="171">
        <f t="shared" ref="W61:X61" si="39">W52-W56+W58-W59+W60</f>
        <v>128.22040090650702</v>
      </c>
      <c r="X61" s="171">
        <f t="shared" si="39"/>
        <v>124.73040090650704</v>
      </c>
      <c r="Y61" s="171">
        <f>Y52-Y56+Y58-Y59+Y60</f>
        <v>126.16121254719667</v>
      </c>
      <c r="Z61" s="171">
        <f t="shared" ref="Z61:AA61" si="40">Z52-Z56+Z58-Z59+Z60</f>
        <v>120.16121254719667</v>
      </c>
      <c r="AA61" s="171">
        <f t="shared" si="40"/>
        <v>117.16121254719667</v>
      </c>
      <c r="AB61" s="179">
        <f>AB52-AB56+AB58-AB59+AB60</f>
        <v>119.16121254719667</v>
      </c>
      <c r="AC61" s="179">
        <f t="shared" ref="AC61:AD61" si="41">AC52-AC56+AC58-AC59+AC60</f>
        <v>112.96121254719665</v>
      </c>
      <c r="AD61" s="179">
        <f t="shared" si="41"/>
        <v>109.96121254719665</v>
      </c>
    </row>
    <row r="62" spans="1:30" ht="28.3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2" t="s">
        <v>97</v>
      </c>
      <c r="B64" s="37">
        <f t="shared" ref="B64:L64" si="42">B17+B22-B50+B21+B33</f>
        <v>161.30000000000004</v>
      </c>
      <c r="C64" s="37">
        <f t="shared" si="42"/>
        <v>158.30000000000004</v>
      </c>
      <c r="D64" s="37">
        <f t="shared" si="42"/>
        <v>154.80000000000004</v>
      </c>
      <c r="E64" s="37">
        <f t="shared" si="42"/>
        <v>152.40000000000003</v>
      </c>
      <c r="F64" s="37">
        <f t="shared" si="42"/>
        <v>146.17000000000002</v>
      </c>
      <c r="G64" s="78">
        <f t="shared" si="42"/>
        <v>153.68000000000004</v>
      </c>
      <c r="H64" s="78">
        <f t="shared" si="42"/>
        <v>150.38000000000002</v>
      </c>
      <c r="I64" s="78">
        <f t="shared" si="42"/>
        <v>146.41000000000003</v>
      </c>
      <c r="J64" s="23">
        <f t="shared" si="42"/>
        <v>159.54068814250945</v>
      </c>
      <c r="K64" s="23">
        <f t="shared" si="42"/>
        <v>156.90068814250947</v>
      </c>
      <c r="L64" s="23">
        <f t="shared" si="42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43">P17+P22-P50+P21+P33</f>
        <v>159.6391883593104</v>
      </c>
      <c r="Q64" s="171">
        <f t="shared" si="43"/>
        <v>156.73918835931042</v>
      </c>
      <c r="R64" s="171">
        <f t="shared" si="43"/>
        <v>152.73918835931042</v>
      </c>
      <c r="S64" s="171">
        <f t="shared" si="43"/>
        <v>152.01000000000005</v>
      </c>
      <c r="T64" s="171">
        <f t="shared" si="43"/>
        <v>149.08000000000004</v>
      </c>
      <c r="U64" s="171">
        <f t="shared" si="43"/>
        <v>145.80000000000004</v>
      </c>
      <c r="V64" s="171">
        <f t="shared" ref="V64:AA64" si="44">V17+V22-V50+V21+V33</f>
        <v>159.23918835931039</v>
      </c>
      <c r="W64" s="171">
        <f t="shared" si="44"/>
        <v>156.2591883593104</v>
      </c>
      <c r="X64" s="171">
        <f t="shared" si="44"/>
        <v>152.76918835931039</v>
      </c>
      <c r="Y64" s="171">
        <f t="shared" si="44"/>
        <v>151.20000000000005</v>
      </c>
      <c r="Z64" s="171">
        <f t="shared" si="44"/>
        <v>148.20000000000005</v>
      </c>
      <c r="AA64" s="171">
        <f t="shared" si="44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</row>
    <row r="65" spans="1:30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E1" sqref="AE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2" width="15.640625" style="3" customWidth="1"/>
    <col min="13" max="13" width="24.7109375" style="3" customWidth="1"/>
    <col min="14" max="14" width="15.7109375" style="3" customWidth="1"/>
    <col min="15" max="15" width="16.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5703125" style="2" customWidth="1"/>
    <col min="29" max="30" width="15.57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</row>
    <row r="7" spans="1:30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</row>
    <row r="8" spans="1:30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</row>
    <row r="17" spans="1:30" ht="28.3">
      <c r="A17" s="8" t="s">
        <v>35</v>
      </c>
      <c r="B17" s="29">
        <f t="shared" ref="B17:L17" si="3">B15+10*LOG10(B42/1000000)</f>
        <v>47.80581786829169</v>
      </c>
      <c r="C17" s="29">
        <f t="shared" si="3"/>
        <v>41.57332496431269</v>
      </c>
      <c r="D17" s="29">
        <f t="shared" si="3"/>
        <v>41.57332496431269</v>
      </c>
      <c r="E17" s="29">
        <f t="shared" si="3"/>
        <v>43.47237607870666</v>
      </c>
      <c r="F17" s="29">
        <f t="shared" si="3"/>
        <v>35.997551772534749</v>
      </c>
      <c r="G17" s="73">
        <f t="shared" si="3"/>
        <v>42.57332496431269</v>
      </c>
      <c r="H17" s="73">
        <f t="shared" si="3"/>
        <v>36.638726768652234</v>
      </c>
      <c r="I17" s="73">
        <f t="shared" si="3"/>
        <v>36.638726768652234</v>
      </c>
      <c r="J17" s="13">
        <f t="shared" si="3"/>
        <v>48.816083660320572</v>
      </c>
      <c r="K17" s="13">
        <f t="shared" si="3"/>
        <v>42.365137424788934</v>
      </c>
      <c r="L17" s="13">
        <f t="shared" si="3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4">P15+10*LOG10(P42/1000000)</f>
        <v>52.924651478080435</v>
      </c>
      <c r="Q17" s="164">
        <f t="shared" si="4"/>
        <v>45.638726768652234</v>
      </c>
      <c r="R17" s="164">
        <f t="shared" si="4"/>
        <v>45.638726768652234</v>
      </c>
      <c r="S17" s="166">
        <f t="shared" si="4"/>
        <v>43.542425094393252</v>
      </c>
      <c r="T17" s="166">
        <f t="shared" si="4"/>
        <v>36.552725051033065</v>
      </c>
      <c r="U17" s="166">
        <f t="shared" si="4"/>
        <v>36.552725051033065</v>
      </c>
      <c r="V17" s="166">
        <f t="shared" ref="V17:AA17" si="5">V15+10*LOG10(V42/1000000)</f>
        <v>52.892717916416927</v>
      </c>
      <c r="W17" s="166">
        <f t="shared" si="5"/>
        <v>45.375437381428746</v>
      </c>
      <c r="X17" s="166">
        <f t="shared" si="5"/>
        <v>45.375437381428746</v>
      </c>
      <c r="Y17" s="166">
        <f t="shared" si="5"/>
        <v>42.57332496431269</v>
      </c>
      <c r="Z17" s="166">
        <f t="shared" si="5"/>
        <v>36.638726768652234</v>
      </c>
      <c r="AA17" s="166">
        <f t="shared" si="5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</row>
    <row r="18" spans="1:30" ht="42.45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9">10*LOG10(K13/K14)</f>
        <v>15.051499783199061</v>
      </c>
      <c r="L21" s="17">
        <f t="shared" si="9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</row>
    <row r="26" spans="1:30">
      <c r="A26" s="8" t="s">
        <v>51</v>
      </c>
      <c r="B26" s="29">
        <f t="shared" ref="B26:L26" si="10">B17+B18+B21-B23-B24</f>
        <v>69.577030415488309</v>
      </c>
      <c r="C26" s="29">
        <f t="shared" si="10"/>
        <v>63.344537511509316</v>
      </c>
      <c r="D26" s="29">
        <f t="shared" si="10"/>
        <v>63.344537511509316</v>
      </c>
      <c r="E26" s="29">
        <f t="shared" si="10"/>
        <v>62.333588625903275</v>
      </c>
      <c r="F26" s="29">
        <f t="shared" si="10"/>
        <v>54.858764319731371</v>
      </c>
      <c r="G26" s="73">
        <f t="shared" si="10"/>
        <v>64.344537511509316</v>
      </c>
      <c r="H26" s="73">
        <f t="shared" si="10"/>
        <v>58.40993931584886</v>
      </c>
      <c r="I26" s="73">
        <f t="shared" si="10"/>
        <v>58.40993931584886</v>
      </c>
      <c r="J26" s="13">
        <f t="shared" si="10"/>
        <v>70.988795990716255</v>
      </c>
      <c r="K26" s="13">
        <f t="shared" si="10"/>
        <v>64.537849755184624</v>
      </c>
      <c r="L26" s="13">
        <f t="shared" si="10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1">P17+P18+P21-P23-P24</f>
        <v>77.745864025277058</v>
      </c>
      <c r="Q26" s="164">
        <f t="shared" si="11"/>
        <v>70.459939315848857</v>
      </c>
      <c r="R26" s="164">
        <f t="shared" si="11"/>
        <v>70.459939315848857</v>
      </c>
      <c r="S26" s="166">
        <f t="shared" si="11"/>
        <v>65.313637641589878</v>
      </c>
      <c r="T26" s="166">
        <f t="shared" si="11"/>
        <v>58.323937598229691</v>
      </c>
      <c r="U26" s="166">
        <f t="shared" si="11"/>
        <v>58.323937598229691</v>
      </c>
      <c r="V26" s="166">
        <f t="shared" ref="V26:AA26" si="12">V17+V18+V21-V23-V24</f>
        <v>74.663930463613553</v>
      </c>
      <c r="W26" s="166">
        <f t="shared" si="12"/>
        <v>67.146649928625379</v>
      </c>
      <c r="X26" s="166">
        <f t="shared" si="12"/>
        <v>67.146649928625379</v>
      </c>
      <c r="Y26" s="166">
        <f t="shared" si="12"/>
        <v>64.344537511509316</v>
      </c>
      <c r="Z26" s="166">
        <f t="shared" si="12"/>
        <v>58.40993931584886</v>
      </c>
      <c r="AA26" s="166">
        <f t="shared" si="12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56.6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16">
        <v>0</v>
      </c>
      <c r="N30" s="116">
        <v>-3</v>
      </c>
      <c r="O30" s="116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</row>
    <row r="38" spans="1:30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</row>
    <row r="39" spans="1:30" ht="28.3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</row>
    <row r="40" spans="1:30" ht="28.3">
      <c r="A40" s="8" t="s">
        <v>107</v>
      </c>
      <c r="B40" s="29">
        <f t="shared" ref="B40:L40" si="16">10*LOG10(10^((B35+B36)/10)+10^(B38/10))</f>
        <v>-167.00000000000003</v>
      </c>
      <c r="C40" s="29">
        <f t="shared" si="16"/>
        <v>-167.00000000000003</v>
      </c>
      <c r="D40" s="29">
        <f t="shared" si="16"/>
        <v>-167.00000000000003</v>
      </c>
      <c r="E40" s="29">
        <f t="shared" si="16"/>
        <v>-167.00000000000003</v>
      </c>
      <c r="F40" s="29">
        <f t="shared" si="16"/>
        <v>-167.00000000000003</v>
      </c>
      <c r="G40" s="73">
        <f t="shared" si="16"/>
        <v>-167.00000000000003</v>
      </c>
      <c r="H40" s="73">
        <f t="shared" si="16"/>
        <v>-167.00000000000003</v>
      </c>
      <c r="I40" s="73">
        <f t="shared" si="16"/>
        <v>-167.00000000000003</v>
      </c>
      <c r="J40" s="13">
        <f t="shared" si="16"/>
        <v>-164.98918835931039</v>
      </c>
      <c r="K40" s="13">
        <f t="shared" si="16"/>
        <v>-164.98918835931039</v>
      </c>
      <c r="L40" s="13">
        <f t="shared" si="16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17">10*LOG10(10^((P35+P36)/10)+10^(P38/10))</f>
        <v>-164.98918835931039</v>
      </c>
      <c r="Q40" s="164">
        <f t="shared" si="17"/>
        <v>-164.98918835931039</v>
      </c>
      <c r="R40" s="164">
        <f t="shared" si="17"/>
        <v>-164.98918835931039</v>
      </c>
      <c r="S40" s="166">
        <f t="shared" si="17"/>
        <v>-167.00000000000003</v>
      </c>
      <c r="T40" s="166">
        <f t="shared" si="17"/>
        <v>-167.00000000000003</v>
      </c>
      <c r="U40" s="166">
        <f t="shared" si="17"/>
        <v>-167.00000000000003</v>
      </c>
      <c r="V40" s="166">
        <f t="shared" ref="V40:AA40" si="18">10*LOG10(10^((V35+V36)/10)+10^(V38/10))</f>
        <v>-164.98918835931039</v>
      </c>
      <c r="W40" s="166">
        <f t="shared" si="18"/>
        <v>-164.98918835931039</v>
      </c>
      <c r="X40" s="166">
        <f t="shared" si="18"/>
        <v>-164.98918835931039</v>
      </c>
      <c r="Y40" s="166">
        <f t="shared" si="18"/>
        <v>-167.00000000000003</v>
      </c>
      <c r="Z40" s="166">
        <f t="shared" si="18"/>
        <v>-167.00000000000003</v>
      </c>
      <c r="AA40" s="166">
        <f t="shared" si="1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</row>
    <row r="41" spans="1:30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</row>
    <row r="42" spans="1:30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</row>
    <row r="43" spans="1:30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</row>
    <row r="44" spans="1:30">
      <c r="A44" s="8" t="s">
        <v>72</v>
      </c>
      <c r="B44" s="29">
        <f t="shared" ref="B44:L44" si="19">B40+10*LOG10(B42)</f>
        <v>-92.194182131708345</v>
      </c>
      <c r="C44" s="29">
        <f t="shared" si="19"/>
        <v>-98.426675035687353</v>
      </c>
      <c r="D44" s="29">
        <f t="shared" si="19"/>
        <v>-98.426675035687353</v>
      </c>
      <c r="E44" s="29">
        <f t="shared" si="19"/>
        <v>-87.527623921293369</v>
      </c>
      <c r="F44" s="29">
        <f t="shared" si="19"/>
        <v>-95.00244822746528</v>
      </c>
      <c r="G44" s="73">
        <f t="shared" si="19"/>
        <v>-88.426675035687353</v>
      </c>
      <c r="H44" s="73">
        <f t="shared" si="19"/>
        <v>-94.361273231347795</v>
      </c>
      <c r="I44" s="73">
        <f t="shared" si="19"/>
        <v>-94.361273231347795</v>
      </c>
      <c r="J44" s="13">
        <f t="shared" si="19"/>
        <v>-89.173104698989818</v>
      </c>
      <c r="K44" s="13">
        <f t="shared" si="19"/>
        <v>-95.624050934521463</v>
      </c>
      <c r="L44" s="13">
        <f t="shared" si="19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0">P40+10*LOG10(P42)</f>
        <v>-85.064536881229955</v>
      </c>
      <c r="Q44" s="164">
        <f t="shared" si="20"/>
        <v>-92.350461590658156</v>
      </c>
      <c r="R44" s="164">
        <f t="shared" si="20"/>
        <v>-92.350461590658156</v>
      </c>
      <c r="S44" s="166">
        <f t="shared" si="20"/>
        <v>-87.457574905606776</v>
      </c>
      <c r="T44" s="166">
        <f t="shared" si="20"/>
        <v>-94.447274948966964</v>
      </c>
      <c r="U44" s="166">
        <f t="shared" si="20"/>
        <v>-94.447274948966964</v>
      </c>
      <c r="V44" s="166">
        <f t="shared" ref="V44:AA44" si="21">V40+10*LOG10(V42)</f>
        <v>-85.096470442893462</v>
      </c>
      <c r="W44" s="166">
        <f t="shared" si="21"/>
        <v>-92.613750977881651</v>
      </c>
      <c r="X44" s="166">
        <f t="shared" si="21"/>
        <v>-92.613750977881651</v>
      </c>
      <c r="Y44" s="166">
        <f t="shared" si="21"/>
        <v>-88.426675035687353</v>
      </c>
      <c r="Z44" s="166">
        <f t="shared" si="21"/>
        <v>-94.361273231347795</v>
      </c>
      <c r="AA44" s="166">
        <f t="shared" si="21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</row>
    <row r="45" spans="1:30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</row>
    <row r="46" spans="1:30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.3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</row>
    <row r="49" spans="1:30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</row>
    <row r="50" spans="1:30" ht="28.3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</row>
    <row r="51" spans="1:30" ht="28.3">
      <c r="A51" s="8" t="s">
        <v>82</v>
      </c>
      <c r="B51" s="29">
        <f t="shared" ref="B51:L51" si="22">B44+B46+B47-B49</f>
        <v>-93.994182131708342</v>
      </c>
      <c r="C51" s="29">
        <f t="shared" si="22"/>
        <v>-97.526675035687347</v>
      </c>
      <c r="D51" s="29">
        <f t="shared" si="22"/>
        <v>-92.826675035687359</v>
      </c>
      <c r="E51" s="29">
        <f t="shared" si="22"/>
        <v>-95.957623921293361</v>
      </c>
      <c r="F51" s="29">
        <f t="shared" si="22"/>
        <v>-100.76244822746528</v>
      </c>
      <c r="G51" s="73">
        <f t="shared" si="22"/>
        <v>-95.516675035687356</v>
      </c>
      <c r="H51" s="73">
        <f t="shared" si="22"/>
        <v>-100.10127323134779</v>
      </c>
      <c r="I51" s="73">
        <f t="shared" si="22"/>
        <v>-97.511273231347801</v>
      </c>
      <c r="J51" s="13">
        <f t="shared" si="22"/>
        <v>-91.87310469898982</v>
      </c>
      <c r="K51" s="13">
        <f t="shared" si="22"/>
        <v>-94.704050934521462</v>
      </c>
      <c r="L51" s="13">
        <f t="shared" si="22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23">P44+P46+P47-P49</f>
        <v>-88.564536881229955</v>
      </c>
      <c r="Q51" s="164">
        <f t="shared" si="23"/>
        <v>-92.150461590658153</v>
      </c>
      <c r="R51" s="164">
        <f t="shared" si="23"/>
        <v>-88.350461590658156</v>
      </c>
      <c r="S51" s="166">
        <f t="shared" si="23"/>
        <v>-93.207574905606776</v>
      </c>
      <c r="T51" s="166">
        <f t="shared" si="23"/>
        <v>-96.457274948966969</v>
      </c>
      <c r="U51" s="166">
        <f t="shared" si="23"/>
        <v>-92.447274948966964</v>
      </c>
      <c r="V51" s="166">
        <f t="shared" ref="V51:AA51" si="24">V44+V46+V47-V49</f>
        <v>-90.566470442893461</v>
      </c>
      <c r="W51" s="166">
        <f t="shared" si="24"/>
        <v>-93.753750977881651</v>
      </c>
      <c r="X51" s="166">
        <f t="shared" si="24"/>
        <v>-89.913750977881648</v>
      </c>
      <c r="Y51" s="166">
        <f t="shared" si="24"/>
        <v>-94.426675035687353</v>
      </c>
      <c r="Z51" s="166">
        <f t="shared" si="24"/>
        <v>-97.361273231347795</v>
      </c>
      <c r="AA51" s="166">
        <f t="shared" si="24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</row>
    <row r="52" spans="1:30" ht="28.3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</row>
    <row r="53" spans="1:30" ht="28.3">
      <c r="A53" s="22" t="s">
        <v>85</v>
      </c>
      <c r="B53" s="37">
        <f t="shared" ref="B53:G53" si="25">B26+B30+B33-B34-B51</f>
        <v>162.57121254719664</v>
      </c>
      <c r="C53" s="37">
        <f t="shared" si="25"/>
        <v>156.87121254719665</v>
      </c>
      <c r="D53" s="37">
        <f t="shared" si="25"/>
        <v>152.17121254719666</v>
      </c>
      <c r="E53" s="37">
        <f t="shared" si="25"/>
        <v>157.29121254719664</v>
      </c>
      <c r="F53" s="37">
        <f t="shared" si="25"/>
        <v>151.62121254719665</v>
      </c>
      <c r="G53" s="78">
        <f t="shared" si="25"/>
        <v>158.86121254719666</v>
      </c>
      <c r="H53" s="78">
        <f t="shared" ref="H53:L53" si="26">H26+H30+H33-H34-H51</f>
        <v>154.51121254719664</v>
      </c>
      <c r="I53" s="78">
        <f t="shared" si="26"/>
        <v>151.92121254719666</v>
      </c>
      <c r="J53" s="23">
        <f t="shared" si="26"/>
        <v>161.86190068970609</v>
      </c>
      <c r="K53" s="23">
        <f t="shared" si="26"/>
        <v>155.24190068970609</v>
      </c>
      <c r="L53" s="23">
        <f t="shared" si="26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27">Q26+Q30+Q33-Q34-Q51</f>
        <v>158.61040090650701</v>
      </c>
      <c r="R53" s="171">
        <f t="shared" si="27"/>
        <v>154.81040090650703</v>
      </c>
      <c r="S53" s="171">
        <f>S26+S30+S33-S34-S51</f>
        <v>157.52121254719665</v>
      </c>
      <c r="T53" s="171">
        <f t="shared" ref="T53:U53" si="28">T26+T30+T33-T34-T51</f>
        <v>150.78121254719667</v>
      </c>
      <c r="U53" s="171">
        <f t="shared" si="28"/>
        <v>146.77121254719665</v>
      </c>
      <c r="V53" s="171">
        <f>V26+V30+V33-V34-V51</f>
        <v>164.23040090650701</v>
      </c>
      <c r="W53" s="171">
        <f t="shared" ref="W53:X53" si="29">W26+W30+W33-W34-W51</f>
        <v>156.90040090650703</v>
      </c>
      <c r="X53" s="171">
        <f t="shared" si="29"/>
        <v>153.06040090650703</v>
      </c>
      <c r="Y53" s="171">
        <f>Y26+Y30+Y33-Y34-Y51</f>
        <v>157.77121254719668</v>
      </c>
      <c r="Z53" s="171">
        <f t="shared" ref="Z53:AA53" si="30">Z26+Z30+Z33-Z34-Z51</f>
        <v>151.77121254719665</v>
      </c>
      <c r="AA53" s="171">
        <f t="shared" si="30"/>
        <v>148.77121254719665</v>
      </c>
      <c r="AB53" s="179">
        <f>AB26+AB30+AB33-AB34-AB51</f>
        <v>149.67121254719666</v>
      </c>
      <c r="AC53" s="179">
        <f t="shared" ref="AC53:AD53" si="31">AC26+AC30+AC33-AC34-AC51</f>
        <v>143.47121254719667</v>
      </c>
      <c r="AD53" s="179">
        <f t="shared" si="31"/>
        <v>139.77121254719665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.3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</row>
    <row r="57" spans="1:30" ht="28.3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.3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</row>
    <row r="62" spans="1:30" ht="28.3">
      <c r="A62" s="22" t="s">
        <v>109</v>
      </c>
      <c r="B62" s="37">
        <f t="shared" ref="B62:G62" si="32">B53-B57+B58-B59+B60</f>
        <v>131.84121254719665</v>
      </c>
      <c r="C62" s="37">
        <f t="shared" si="32"/>
        <v>126.14121254719666</v>
      </c>
      <c r="D62" s="37">
        <f t="shared" si="32"/>
        <v>121.44121254719667</v>
      </c>
      <c r="E62" s="37">
        <f t="shared" si="32"/>
        <v>126.56121254719665</v>
      </c>
      <c r="F62" s="37">
        <f t="shared" si="32"/>
        <v>120.89121254719666</v>
      </c>
      <c r="G62" s="78">
        <f t="shared" si="32"/>
        <v>128.13121254719667</v>
      </c>
      <c r="H62" s="78">
        <f t="shared" ref="H62:L62" si="33">H53-H57+H58-H59+H60</f>
        <v>123.78121254719665</v>
      </c>
      <c r="I62" s="78">
        <f t="shared" si="33"/>
        <v>121.19121254719667</v>
      </c>
      <c r="J62" s="23">
        <f t="shared" si="33"/>
        <v>131.1319006897061</v>
      </c>
      <c r="K62" s="23">
        <f t="shared" si="33"/>
        <v>124.5119006897061</v>
      </c>
      <c r="L62" s="23">
        <f t="shared" si="33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34">Q53-Q57+Q58-Q59+Q60</f>
        <v>127.88040090650702</v>
      </c>
      <c r="R62" s="171">
        <f t="shared" si="34"/>
        <v>124.08040090650704</v>
      </c>
      <c r="S62" s="171">
        <f>S53-S57+S58-S59+S60</f>
        <v>126.79121254719666</v>
      </c>
      <c r="T62" s="171">
        <f t="shared" ref="T62:U62" si="35">T53-T57+T58-T59+T60</f>
        <v>120.05121254719668</v>
      </c>
      <c r="U62" s="171">
        <f t="shared" si="35"/>
        <v>116.04121254719666</v>
      </c>
      <c r="V62" s="171">
        <f>V53-V57+V58-V59+V60</f>
        <v>133.50040090650702</v>
      </c>
      <c r="W62" s="171">
        <f t="shared" ref="W62:X62" si="36">W53-W57+W58-W59+W60</f>
        <v>126.17040090650704</v>
      </c>
      <c r="X62" s="171">
        <f t="shared" si="36"/>
        <v>122.33040090650704</v>
      </c>
      <c r="Y62" s="171">
        <f>Y53-Y57+Y58-Y59+Y60</f>
        <v>127.04121254719669</v>
      </c>
      <c r="Z62" s="171">
        <f t="shared" ref="Z62:AA62" si="37">Z53-Z57+Z58-Z59+Z60</f>
        <v>121.04121254719666</v>
      </c>
      <c r="AA62" s="171">
        <f t="shared" si="37"/>
        <v>118.04121254719666</v>
      </c>
      <c r="AB62" s="179">
        <f>AB53-AB57+AB58-AB59+AB60</f>
        <v>118.94121254719667</v>
      </c>
      <c r="AC62" s="179">
        <f t="shared" ref="AC62:AD62" si="38">AC53-AC57+AC58-AC59+AC60</f>
        <v>112.74121254719668</v>
      </c>
      <c r="AD62" s="179">
        <f t="shared" si="38"/>
        <v>109.04121254719666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</row>
    <row r="65" spans="1:30">
      <c r="A65" s="22" t="s">
        <v>98</v>
      </c>
      <c r="B65" s="37">
        <f t="shared" ref="B65:L65" si="39">B17-B23-B51+B21+B33</f>
        <v>153.80000000000004</v>
      </c>
      <c r="C65" s="37">
        <f t="shared" si="39"/>
        <v>151.10000000000002</v>
      </c>
      <c r="D65" s="37">
        <f t="shared" si="39"/>
        <v>146.40000000000003</v>
      </c>
      <c r="E65" s="37">
        <f t="shared" si="39"/>
        <v>151.47</v>
      </c>
      <c r="F65" s="37">
        <f t="shared" si="39"/>
        <v>148.80000000000004</v>
      </c>
      <c r="G65" s="78">
        <f t="shared" si="39"/>
        <v>150.09000000000003</v>
      </c>
      <c r="H65" s="78">
        <f t="shared" si="39"/>
        <v>148.74</v>
      </c>
      <c r="I65" s="78">
        <f t="shared" si="39"/>
        <v>146.15000000000003</v>
      </c>
      <c r="J65" s="23">
        <f t="shared" si="39"/>
        <v>155.74068814250944</v>
      </c>
      <c r="K65" s="23">
        <f t="shared" si="39"/>
        <v>152.12068814250947</v>
      </c>
      <c r="L65" s="23">
        <f t="shared" si="39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40">P17-P23-P51+P21+P33</f>
        <v>156.5391883593104</v>
      </c>
      <c r="Q65" s="171">
        <f t="shared" si="40"/>
        <v>152.83918835931041</v>
      </c>
      <c r="R65" s="171">
        <f t="shared" si="40"/>
        <v>149.0391883593104</v>
      </c>
      <c r="S65" s="171">
        <f t="shared" si="40"/>
        <v>148.75000000000003</v>
      </c>
      <c r="T65" s="171">
        <f t="shared" si="40"/>
        <v>145.01000000000005</v>
      </c>
      <c r="U65" s="171">
        <f t="shared" si="40"/>
        <v>141.00000000000003</v>
      </c>
      <c r="V65" s="171">
        <f t="shared" ref="V65:AA65" si="41">V17-V23-V51+V21+V33</f>
        <v>155.45918835931039</v>
      </c>
      <c r="W65" s="171">
        <f t="shared" si="41"/>
        <v>151.1291883593104</v>
      </c>
      <c r="X65" s="171">
        <f t="shared" si="41"/>
        <v>147.2891883593104</v>
      </c>
      <c r="Y65" s="171">
        <f t="shared" si="41"/>
        <v>149.00000000000006</v>
      </c>
      <c r="Z65" s="171">
        <f t="shared" si="41"/>
        <v>146.00000000000003</v>
      </c>
      <c r="AA65" s="171">
        <f t="shared" si="41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5"/>
  <sheetViews>
    <sheetView workbookViewId="0">
      <pane xSplit="1" ySplit="1" topLeftCell="L2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5703125" style="2" customWidth="1"/>
    <col min="19" max="19" width="15.5703125" style="3" customWidth="1"/>
    <col min="20" max="16384" width="9" style="3"/>
  </cols>
  <sheetData>
    <row r="1" spans="1:19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124</v>
      </c>
      <c r="M1" s="202"/>
      <c r="N1" s="202" t="s">
        <v>126</v>
      </c>
      <c r="O1" s="202"/>
      <c r="P1" s="202" t="s">
        <v>128</v>
      </c>
      <c r="Q1" s="202"/>
      <c r="R1" s="202" t="s">
        <v>129</v>
      </c>
      <c r="S1" s="202"/>
    </row>
    <row r="2" spans="1:1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</row>
    <row r="3" spans="1:1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2.6</v>
      </c>
      <c r="Q3" s="178">
        <v>2.6</v>
      </c>
      <c r="R3" s="178">
        <v>4</v>
      </c>
      <c r="S3" s="178">
        <v>4</v>
      </c>
    </row>
    <row r="4" spans="1:19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</row>
    <row r="5" spans="1:19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</row>
    <row r="6" spans="1:19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</row>
    <row r="7" spans="1:19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</row>
    <row r="8" spans="1:19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</row>
    <row r="9" spans="1:19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</row>
    <row r="10" spans="1:19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</row>
    <row r="11" spans="1:19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1:1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</row>
    <row r="13" spans="1:19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</row>
    <row r="14" spans="1:19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</row>
    <row r="15" spans="1:19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</row>
    <row r="16" spans="1:19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</row>
    <row r="17" spans="1:19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</row>
    <row r="18" spans="1:19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>P19+10*LOG10(P12/P14)-P20</f>
        <v>0</v>
      </c>
      <c r="Q18" s="176">
        <f>Q19+10*LOG10(Q12/Q14)-Q20</f>
        <v>-3</v>
      </c>
      <c r="R18" s="178">
        <f>R19+10*LOG10(R12/R14)-R20</f>
        <v>0</v>
      </c>
      <c r="S18" s="178">
        <f>S19+10*LOG10(S12/S14)-S20</f>
        <v>-3</v>
      </c>
    </row>
    <row r="19" spans="1:19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</row>
    <row r="20" spans="1:19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</row>
    <row r="21" spans="1:1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</row>
    <row r="22" spans="1:19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</row>
    <row r="23" spans="1:19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</row>
    <row r="24" spans="1:19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</row>
    <row r="25" spans="1:19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78">
        <f>P17+P18+P21+P22-P24</f>
        <v>22</v>
      </c>
      <c r="Q25" s="178">
        <f>Q17+Q18+Q21+Q22-Q24</f>
        <v>19</v>
      </c>
      <c r="R25" s="178">
        <f>R17+R18+R21+R22-R24</f>
        <v>22</v>
      </c>
      <c r="S25" s="178">
        <f>S17+S18+S21+S22-S24</f>
        <v>19</v>
      </c>
    </row>
    <row r="26" spans="1:19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</row>
    <row r="27" spans="1:19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19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</row>
    <row r="29" spans="1:19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</row>
    <row r="30" spans="1:19" ht="56.6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8">
        <f t="shared" ref="J30:O30" si="5">J31+10*LOG10(J28/J13)-J32</f>
        <v>12.771212547196624</v>
      </c>
      <c r="K30" s="178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>P31+10*LOG10(P28/P13)-P32</f>
        <v>12.771212547196624</v>
      </c>
      <c r="Q30" s="176">
        <f>Q31+10*LOG10(Q28/Q13)-Q32</f>
        <v>12.771212547196624</v>
      </c>
      <c r="R30" s="178">
        <f>R31+10*LOG10(R28/R13)-R32</f>
        <v>8.7712125471966242</v>
      </c>
      <c r="S30" s="178">
        <f>S31+10*LOG10(S28/S13)-S32</f>
        <v>8.7712125471966242</v>
      </c>
    </row>
    <row r="31" spans="1:19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</row>
    <row r="32" spans="1:19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</row>
    <row r="33" spans="1:19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</row>
    <row r="34" spans="1:19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</row>
    <row r="35" spans="1:19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</row>
    <row r="36" spans="1:19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</row>
    <row r="37" spans="1:19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</row>
    <row r="38" spans="1:19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</row>
    <row r="39" spans="1:19" ht="28.3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8">
        <f t="shared" ref="J39:O39" si="7">10*LOG10(10^((J35+J36)/10)+10^(J37/10))</f>
        <v>-160.9583889004532</v>
      </c>
      <c r="K39" s="178">
        <f t="shared" si="7"/>
        <v>-160.9583889004532</v>
      </c>
      <c r="L39" s="176">
        <f t="shared" si="7"/>
        <v>-169.00000000000003</v>
      </c>
      <c r="M39" s="176">
        <f t="shared" si="7"/>
        <v>-169.00000000000003</v>
      </c>
      <c r="N39" s="176">
        <f t="shared" si="7"/>
        <v>-164.03352307536667</v>
      </c>
      <c r="O39" s="176">
        <f t="shared" si="7"/>
        <v>-164.03352307536667</v>
      </c>
      <c r="P39" s="176">
        <f>10*LOG10(10^((P35+P36)/10)+10^(P37/10))</f>
        <v>-169.00000000000003</v>
      </c>
      <c r="Q39" s="176">
        <f>10*LOG10(10^((Q35+Q36)/10)+10^(Q37/10))</f>
        <v>-169.00000000000003</v>
      </c>
      <c r="R39" s="178">
        <f>10*LOG10(10^((R35+R36)/10)+10^(R37/10))</f>
        <v>-169.00000000000003</v>
      </c>
      <c r="S39" s="178">
        <f>10*LOG10(10^((S35+S36)/10)+10^(S37/10))</f>
        <v>-169.00000000000003</v>
      </c>
    </row>
    <row r="40" spans="1:19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</row>
    <row r="41" spans="1:19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8">
        <f t="shared" ref="J41:O41" si="9">1*12*30*1000</f>
        <v>360000</v>
      </c>
      <c r="K41" s="178">
        <f t="shared" si="9"/>
        <v>360000</v>
      </c>
      <c r="L41" s="176">
        <f t="shared" si="9"/>
        <v>360000</v>
      </c>
      <c r="M41" s="176">
        <f t="shared" si="9"/>
        <v>360000</v>
      </c>
      <c r="N41" s="176">
        <f t="shared" si="9"/>
        <v>360000</v>
      </c>
      <c r="O41" s="176">
        <f t="shared" si="9"/>
        <v>360000</v>
      </c>
      <c r="P41" s="176">
        <f>1*12*30*1000</f>
        <v>360000</v>
      </c>
      <c r="Q41" s="176">
        <f>1*12*30*1000</f>
        <v>360000</v>
      </c>
      <c r="R41" s="178">
        <f>1*12*30*1000</f>
        <v>360000</v>
      </c>
      <c r="S41" s="178">
        <f>1*12*30*1000</f>
        <v>360000</v>
      </c>
    </row>
    <row r="42" spans="1:19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</row>
    <row r="43" spans="1:19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8">
        <f t="shared" ref="J43:O43" si="11">J39+10*LOG10(J41)</f>
        <v>-105.39536389278032</v>
      </c>
      <c r="K43" s="178">
        <f t="shared" si="11"/>
        <v>-105.39536389278032</v>
      </c>
      <c r="L43" s="176">
        <f t="shared" si="11"/>
        <v>-113.43697499232715</v>
      </c>
      <c r="M43" s="176">
        <f t="shared" si="11"/>
        <v>-113.43697499232715</v>
      </c>
      <c r="N43" s="176">
        <f t="shared" si="11"/>
        <v>-108.4704980676938</v>
      </c>
      <c r="O43" s="176">
        <f t="shared" si="11"/>
        <v>-108.4704980676938</v>
      </c>
      <c r="P43" s="176">
        <f>P39+10*LOG10(P41)</f>
        <v>-113.43697499232715</v>
      </c>
      <c r="Q43" s="176">
        <f>Q39+10*LOG10(Q41)</f>
        <v>-113.43697499232715</v>
      </c>
      <c r="R43" s="178">
        <f>R39+10*LOG10(R41)</f>
        <v>-113.43697499232715</v>
      </c>
      <c r="S43" s="178">
        <f>S39+10*LOG10(S41)</f>
        <v>-113.43697499232715</v>
      </c>
    </row>
    <row r="44" spans="1:19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</row>
    <row r="45" spans="1:19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</row>
    <row r="46" spans="1:19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</row>
    <row r="47" spans="1:19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</row>
    <row r="48" spans="1:19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</row>
    <row r="49" spans="1:1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</row>
    <row r="50" spans="1:19" ht="28.3">
      <c r="A50" s="8" t="s">
        <v>80</v>
      </c>
      <c r="B50" s="13">
        <f t="shared" ref="B50:I50" si="12">B43+B45+B47-B48</f>
        <v>-118.83697499232716</v>
      </c>
      <c r="C50" s="13">
        <f t="shared" si="12"/>
        <v>-118.53697499232715</v>
      </c>
      <c r="D50" s="13">
        <f t="shared" si="12"/>
        <v>-121.73697499232715</v>
      </c>
      <c r="E50" s="13">
        <f t="shared" si="12"/>
        <v>-121.73697499232715</v>
      </c>
      <c r="F50" s="86">
        <f t="shared" si="12"/>
        <v>-115.26697499232715</v>
      </c>
      <c r="G50" s="86">
        <f t="shared" si="12"/>
        <v>-115.14697499232715</v>
      </c>
      <c r="H50" s="13">
        <f t="shared" si="12"/>
        <v>-109.47536389278032</v>
      </c>
      <c r="I50" s="13">
        <f t="shared" si="12"/>
        <v>-109.47536389278032</v>
      </c>
      <c r="J50" s="178">
        <f t="shared" ref="J50:O50" si="13">J43+J45+J47-J48</f>
        <v>-104.89536389278032</v>
      </c>
      <c r="K50" s="178">
        <f t="shared" si="13"/>
        <v>-104.89536389278032</v>
      </c>
      <c r="L50" s="176">
        <f t="shared" si="13"/>
        <v>-121.46697499232715</v>
      </c>
      <c r="M50" s="176">
        <f t="shared" si="13"/>
        <v>-121.46697499232715</v>
      </c>
      <c r="N50" s="176">
        <f t="shared" si="13"/>
        <v>-116.7504980676938</v>
      </c>
      <c r="O50" s="176">
        <f t="shared" si="13"/>
        <v>-116.7504980676938</v>
      </c>
      <c r="P50" s="176">
        <f>P43+P45+P47-P48</f>
        <v>-118.43697499232715</v>
      </c>
      <c r="Q50" s="176">
        <f>Q43+Q45+Q47-Q48</f>
        <v>-118.43697499232715</v>
      </c>
      <c r="R50" s="178">
        <f>R43+R45+R47-R48</f>
        <v>-116.83697499232716</v>
      </c>
      <c r="S50" s="178">
        <f>S43+S45+S47-S48</f>
        <v>-116.83697499232716</v>
      </c>
    </row>
    <row r="51" spans="1:19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</row>
    <row r="52" spans="1:19" ht="28.3">
      <c r="A52" s="22" t="s">
        <v>83</v>
      </c>
      <c r="B52" s="23">
        <f t="shared" ref="B52:I52" si="14">B25+B30+B33-B34-B50</f>
        <v>158.60818753952378</v>
      </c>
      <c r="C52" s="23">
        <f t="shared" si="14"/>
        <v>155.30818753952377</v>
      </c>
      <c r="D52" s="23">
        <f t="shared" si="14"/>
        <v>162.59818753952376</v>
      </c>
      <c r="E52" s="23">
        <f t="shared" si="14"/>
        <v>159.59818753952376</v>
      </c>
      <c r="F52" s="90">
        <f t="shared" si="14"/>
        <v>155.03818753952379</v>
      </c>
      <c r="G52" s="90">
        <f t="shared" si="14"/>
        <v>151.91818753952379</v>
      </c>
      <c r="H52" s="23">
        <f t="shared" si="14"/>
        <v>156.298076223176</v>
      </c>
      <c r="I52" s="23">
        <f t="shared" si="14"/>
        <v>153.298076223176</v>
      </c>
      <c r="J52" s="179">
        <f t="shared" ref="J52:O52" si="15">J25+J30+J33-J34-J50</f>
        <v>151.71657643997696</v>
      </c>
      <c r="K52" s="179">
        <f t="shared" si="15"/>
        <v>148.71657643997696</v>
      </c>
      <c r="L52" s="179">
        <f t="shared" si="15"/>
        <v>161.23818753952378</v>
      </c>
      <c r="M52" s="179">
        <f t="shared" si="15"/>
        <v>158.23818753952378</v>
      </c>
      <c r="N52" s="179">
        <f t="shared" si="15"/>
        <v>160.52171061489042</v>
      </c>
      <c r="O52" s="179">
        <f t="shared" si="15"/>
        <v>157.52171061489042</v>
      </c>
      <c r="P52" s="179">
        <f>P25+P30+P33-P34-P50</f>
        <v>158.20818753952378</v>
      </c>
      <c r="Q52" s="179">
        <f>Q25+Q30+Q33-Q34-Q50</f>
        <v>155.20818753952378</v>
      </c>
      <c r="R52" s="179">
        <f>R25+R30+R33-R34-R50</f>
        <v>153.60818753952378</v>
      </c>
      <c r="S52" s="179">
        <f>S25+S30+S33-S34-S50</f>
        <v>150.60818753952378</v>
      </c>
    </row>
    <row r="53" spans="1:19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</row>
    <row r="54" spans="1:19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</row>
    <row r="55" spans="1:1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</row>
    <row r="56" spans="1:19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</row>
    <row r="57" spans="1:19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</row>
    <row r="58" spans="1:19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</row>
    <row r="59" spans="1:19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</row>
    <row r="60" spans="1:19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</row>
    <row r="61" spans="1:19" ht="28.3">
      <c r="A61" s="22" t="s">
        <v>108</v>
      </c>
      <c r="B61" s="23">
        <f t="shared" ref="B61:I61" si="16">B52-B56+B58-B59+B60</f>
        <v>124.79818753952378</v>
      </c>
      <c r="C61" s="23">
        <f t="shared" si="16"/>
        <v>121.49818753952377</v>
      </c>
      <c r="D61" s="23">
        <f t="shared" si="16"/>
        <v>128.78818753952376</v>
      </c>
      <c r="E61" s="23">
        <f t="shared" si="16"/>
        <v>125.78818753952376</v>
      </c>
      <c r="F61" s="90">
        <f t="shared" si="16"/>
        <v>121.22818753952379</v>
      </c>
      <c r="G61" s="90">
        <f t="shared" si="16"/>
        <v>118.10818753952378</v>
      </c>
      <c r="H61" s="23">
        <f t="shared" si="16"/>
        <v>122.48807622317599</v>
      </c>
      <c r="I61" s="23">
        <f t="shared" si="16"/>
        <v>119.48807622317599</v>
      </c>
      <c r="J61" s="179">
        <f t="shared" ref="J61:O61" si="17">J52-J56+J58-J59+J60</f>
        <v>117.88657643997695</v>
      </c>
      <c r="K61" s="179">
        <f t="shared" si="17"/>
        <v>114.88657643997695</v>
      </c>
      <c r="L61" s="179">
        <f t="shared" si="17"/>
        <v>127.42818753952378</v>
      </c>
      <c r="M61" s="179">
        <f t="shared" si="17"/>
        <v>124.42818753952378</v>
      </c>
      <c r="N61" s="179">
        <f t="shared" si="17"/>
        <v>126.71171061489042</v>
      </c>
      <c r="O61" s="179">
        <f t="shared" si="17"/>
        <v>123.71171061489042</v>
      </c>
      <c r="P61" s="179">
        <f>P52-P56+P58-P59+P60</f>
        <v>124.39818753952378</v>
      </c>
      <c r="Q61" s="179">
        <f>Q52-Q56+Q58-Q59+Q60</f>
        <v>121.39818753952378</v>
      </c>
      <c r="R61" s="179">
        <f>R52-R56+R58-R59+R60</f>
        <v>119.79818753952378</v>
      </c>
      <c r="S61" s="179">
        <f>S52-S56+S58-S59+S60</f>
        <v>116.79818753952378</v>
      </c>
    </row>
    <row r="62" spans="1:19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</row>
    <row r="63" spans="1:19">
      <c r="C63" s="2"/>
      <c r="E63" s="2"/>
      <c r="G63" s="82"/>
      <c r="H63" s="2"/>
      <c r="I63" s="2"/>
      <c r="K63" s="2"/>
      <c r="M63" s="2"/>
      <c r="O63" s="2"/>
      <c r="Q63" s="2"/>
      <c r="S63" s="2"/>
    </row>
    <row r="64" spans="1:19">
      <c r="A64" s="22" t="s">
        <v>97</v>
      </c>
      <c r="B64" s="23">
        <f t="shared" ref="B64:I64" si="18">B17+B22-B50+B21+B33</f>
        <v>149.83697499232716</v>
      </c>
      <c r="C64" s="23">
        <f t="shared" si="18"/>
        <v>149.53697499232715</v>
      </c>
      <c r="D64" s="23">
        <f t="shared" si="18"/>
        <v>156.77697499232713</v>
      </c>
      <c r="E64" s="23">
        <f t="shared" si="18"/>
        <v>156.77697499232713</v>
      </c>
      <c r="F64" s="90">
        <f t="shared" si="18"/>
        <v>146.26697499232716</v>
      </c>
      <c r="G64" s="90">
        <f t="shared" si="18"/>
        <v>146.14697499232716</v>
      </c>
      <c r="H64" s="23">
        <f t="shared" si="18"/>
        <v>147.52686367597937</v>
      </c>
      <c r="I64" s="23">
        <f t="shared" si="18"/>
        <v>147.52686367597937</v>
      </c>
      <c r="J64" s="179">
        <f t="shared" ref="J64:O64" si="19">J17+J22-J50+J21+J33</f>
        <v>142.94536389278034</v>
      </c>
      <c r="K64" s="179">
        <f t="shared" si="19"/>
        <v>142.94536389278034</v>
      </c>
      <c r="L64" s="179">
        <f t="shared" si="19"/>
        <v>152.46697499232715</v>
      </c>
      <c r="M64" s="179">
        <f t="shared" si="19"/>
        <v>152.46697499232715</v>
      </c>
      <c r="N64" s="179">
        <f t="shared" si="19"/>
        <v>151.7504980676938</v>
      </c>
      <c r="O64" s="179">
        <f t="shared" si="19"/>
        <v>151.7504980676938</v>
      </c>
      <c r="P64" s="179">
        <f>P17+P22-P50+P21+P33</f>
        <v>149.43697499232715</v>
      </c>
      <c r="Q64" s="179">
        <f>Q17+Q22-Q50+Q21+Q33</f>
        <v>149.43697499232715</v>
      </c>
      <c r="R64" s="179">
        <f>R17+R22-R50+R21+R33</f>
        <v>148.83697499232716</v>
      </c>
      <c r="S64" s="179">
        <f>S17+S22-S50+S21+S33</f>
        <v>148.83697499232716</v>
      </c>
    </row>
    <row r="65" spans="1:1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pane xSplit="1" ySplit="1" topLeftCell="H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5703125" style="2" customWidth="1"/>
    <col min="15" max="15" width="15.5703125" style="3" customWidth="1"/>
    <col min="16" max="16384" width="9" style="3"/>
  </cols>
  <sheetData>
    <row r="1" spans="1:15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124</v>
      </c>
      <c r="K1" s="202"/>
      <c r="L1" s="202" t="s">
        <v>128</v>
      </c>
      <c r="M1" s="202"/>
      <c r="N1" s="202" t="s">
        <v>129</v>
      </c>
      <c r="O1" s="202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2.6</v>
      </c>
      <c r="M3" s="178">
        <v>2.6</v>
      </c>
      <c r="N3" s="178">
        <v>4</v>
      </c>
      <c r="O3" s="178">
        <v>4</v>
      </c>
    </row>
    <row r="4" spans="1: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</row>
    <row r="8" spans="1: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</row>
    <row r="9" spans="1: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</row>
    <row r="10" spans="1: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</row>
    <row r="14" spans="1: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</row>
    <row r="15" spans="1: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</row>
    <row r="16" spans="1: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>J19+10*LOG10(J12/J14)-J20</f>
        <v>0</v>
      </c>
      <c r="K18" s="176">
        <f>K19+10*LOG10(K12/K14)-K20</f>
        <v>-3</v>
      </c>
      <c r="L18" s="176">
        <f>L19+10*LOG10(L12/L14)-L20</f>
        <v>0</v>
      </c>
      <c r="M18" s="176">
        <f>M19+10*LOG10(M12/M14)-M20</f>
        <v>-3</v>
      </c>
      <c r="N18" s="178">
        <f>N19+10*LOG10(N12/N14)-N20</f>
        <v>0</v>
      </c>
      <c r="O18" s="178">
        <f>O19+10*LOG10(O12/O14)-O20</f>
        <v>-3</v>
      </c>
    </row>
    <row r="19" spans="1: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</row>
    <row r="22" spans="1: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  <c r="N25" s="178">
        <f>N17+N18+N21+N22-N24</f>
        <v>22</v>
      </c>
      <c r="O25" s="178">
        <f>O17+O18+O21+O22-O24</f>
        <v>19</v>
      </c>
    </row>
    <row r="26" spans="1: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</row>
    <row r="29" spans="1: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</row>
    <row r="30" spans="1:15" ht="56.6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f>J31+10*LOG10(J28/J13)-J32</f>
        <v>12.771212547196624</v>
      </c>
      <c r="K30" s="176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  <c r="N30" s="178">
        <f>N31+10*LOG10(N28/N13)-N32</f>
        <v>8.7712125471966242</v>
      </c>
      <c r="O30" s="178">
        <f>O31+10*LOG10(O28/O13)-O32</f>
        <v>8.7712125471966242</v>
      </c>
    </row>
    <row r="31" spans="1: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</row>
    <row r="33" spans="1:15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</row>
    <row r="34" spans="1:15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</row>
    <row r="37" spans="1: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</row>
    <row r="38" spans="1: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</row>
    <row r="39" spans="1:15" ht="28.3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6">
        <f>10*LOG10(10^((J35+J36)/10)+10^(J37/10))</f>
        <v>-169.00000000000003</v>
      </c>
      <c r="K39" s="176">
        <f>10*LOG10(10^((K35+K36)/10)+10^(K37/10))</f>
        <v>-169.00000000000003</v>
      </c>
      <c r="L39" s="176">
        <f>10*LOG10(10^((L35+L36)/10)+10^(L37/10))</f>
        <v>-169.00000000000003</v>
      </c>
      <c r="M39" s="176">
        <f>10*LOG10(10^((M35+M36)/10)+10^(M37/10))</f>
        <v>-169.00000000000003</v>
      </c>
      <c r="N39" s="178">
        <f>10*LOG10(10^((N35+N36)/10)+10^(N37/10))</f>
        <v>-169.00000000000003</v>
      </c>
      <c r="O39" s="178">
        <f>10*LOG10(10^((O35+O36)/10)+10^(O37/10))</f>
        <v>-169.00000000000003</v>
      </c>
    </row>
    <row r="40" spans="1:15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</row>
    <row r="41" spans="1: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6">
        <f>1*12*30*1000</f>
        <v>360000</v>
      </c>
      <c r="K41" s="176">
        <f>1*12*30*1000</f>
        <v>360000</v>
      </c>
      <c r="L41" s="176">
        <f>1*12*30*1000</f>
        <v>360000</v>
      </c>
      <c r="M41" s="176">
        <f>1*12*30*1000</f>
        <v>360000</v>
      </c>
      <c r="N41" s="178">
        <f>1*12*30*1000</f>
        <v>360000</v>
      </c>
      <c r="O41" s="178">
        <f>1*12*30*1000</f>
        <v>360000</v>
      </c>
    </row>
    <row r="42" spans="1: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</row>
    <row r="43" spans="1: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6">
        <f>J39+10*LOG10(J41)</f>
        <v>-113.43697499232715</v>
      </c>
      <c r="K43" s="176">
        <f>K39+10*LOG10(K41)</f>
        <v>-113.43697499232715</v>
      </c>
      <c r="L43" s="176">
        <f>L39+10*LOG10(L41)</f>
        <v>-113.43697499232715</v>
      </c>
      <c r="M43" s="176">
        <f>M39+10*LOG10(M41)</f>
        <v>-113.43697499232715</v>
      </c>
      <c r="N43" s="178">
        <f>N39+10*LOG10(N41)</f>
        <v>-113.43697499232715</v>
      </c>
      <c r="O43" s="178">
        <f>O39+10*LOG10(O41)</f>
        <v>-113.43697499232715</v>
      </c>
    </row>
    <row r="44" spans="1: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</row>
    <row r="45" spans="1: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</row>
    <row r="46" spans="1: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</row>
    <row r="47" spans="1: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</row>
    <row r="49" spans="1:15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</row>
    <row r="50" spans="1:15" ht="28.3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  <c r="J50" s="176">
        <f>J43+J45+J47-J48</f>
        <v>-125.06697499232715</v>
      </c>
      <c r="K50" s="176">
        <f>K43+K45+K47-K48</f>
        <v>-125.06697499232715</v>
      </c>
      <c r="L50" s="176">
        <f>L43+L45+L47-L48</f>
        <v>-116.43697499232715</v>
      </c>
      <c r="M50" s="176">
        <f>M43+M45+M47-M48</f>
        <v>-116.43697499232715</v>
      </c>
      <c r="N50" s="178">
        <f>N43+N45+N47-N48</f>
        <v>-118.77697499232715</v>
      </c>
      <c r="O50" s="178">
        <f>O43+O45+O47-O48</f>
        <v>-118.77697499232715</v>
      </c>
    </row>
    <row r="51" spans="1:15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</row>
    <row r="52" spans="1:15" ht="28.3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  <c r="J52" s="179">
        <f>J25+J30+J33-J34-J50</f>
        <v>164.83818753952377</v>
      </c>
      <c r="K52" s="179">
        <f>K25+K30+K33-K34-K50</f>
        <v>161.83818753952377</v>
      </c>
      <c r="L52" s="179">
        <f>L25+L30+L33-L34-L50</f>
        <v>156.20818753952378</v>
      </c>
      <c r="M52" s="179">
        <f>M25+M30+M33-M34-M50</f>
        <v>153.20818753952378</v>
      </c>
      <c r="N52" s="179">
        <f>N25+N30+N33-N34-N50</f>
        <v>155.54818753952378</v>
      </c>
      <c r="O52" s="179">
        <f>O25+O30+O33-O34-O50</f>
        <v>152.54818753952378</v>
      </c>
    </row>
    <row r="53" spans="1:15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</row>
    <row r="57" spans="1:15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</row>
    <row r="58" spans="1: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28.3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  <c r="J61" s="179">
        <f>J52-J56+J58-J59+J60</f>
        <v>131.02818753952377</v>
      </c>
      <c r="K61" s="179">
        <f>K52-K56+K58-K59+K60</f>
        <v>128.02818753952377</v>
      </c>
      <c r="L61" s="179">
        <f>L52-L56+L58-L59+L60</f>
        <v>122.39818753952378</v>
      </c>
      <c r="M61" s="179">
        <f>M52-M56+M58-M59+M60</f>
        <v>119.39818753952378</v>
      </c>
      <c r="N61" s="179">
        <f>N52-N56+N58-N59+N60</f>
        <v>121.73818753952378</v>
      </c>
      <c r="O61" s="179">
        <f>O52-O56+O58-O59+O60</f>
        <v>118.73818753952378</v>
      </c>
    </row>
    <row r="62" spans="1:15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</row>
    <row r="63" spans="1:15">
      <c r="C63" s="2"/>
      <c r="E63" s="2"/>
      <c r="G63" s="82"/>
      <c r="H63" s="2"/>
      <c r="I63" s="2"/>
      <c r="K63" s="2"/>
      <c r="M63" s="2"/>
      <c r="O63" s="2"/>
    </row>
    <row r="64" spans="1: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  <c r="J64" s="179">
        <f>J17+J22-J50+J21+J33</f>
        <v>156.06697499232715</v>
      </c>
      <c r="K64" s="179">
        <f>K17+K22-K50+K21+K33</f>
        <v>156.06697499232715</v>
      </c>
      <c r="L64" s="179">
        <f>L17+L22-L50+L21+L33</f>
        <v>147.43697499232715</v>
      </c>
      <c r="M64" s="179">
        <f>M17+M22-M50+M21+M33</f>
        <v>147.43697499232715</v>
      </c>
      <c r="N64" s="179">
        <f>N17+N22-N50+N21+N33</f>
        <v>150.77697499232715</v>
      </c>
      <c r="O64" s="179">
        <f>O17+O22-O50+O21+O33</f>
        <v>150.77697499232715</v>
      </c>
    </row>
    <row r="65" spans="1: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5"/>
  <sheetViews>
    <sheetView workbookViewId="0">
      <pane xSplit="1" ySplit="1" topLeftCell="J2" activePane="bottomRight" state="frozen"/>
      <selection pane="topRight"/>
      <selection pane="bottomLeft"/>
      <selection pane="bottomRight" activeCell="P1" sqref="P1:Q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5.640625" style="2" customWidth="1"/>
    <col min="11" max="11" width="15.64062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5703125" style="2" customWidth="1"/>
    <col min="17" max="17" width="15.5703125" style="3" customWidth="1"/>
    <col min="18" max="16384" width="9" style="3"/>
  </cols>
  <sheetData>
    <row r="1" spans="1:17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126</v>
      </c>
      <c r="M1" s="202"/>
      <c r="N1" s="202" t="s">
        <v>128</v>
      </c>
      <c r="O1" s="202"/>
      <c r="P1" s="202" t="s">
        <v>129</v>
      </c>
      <c r="Q1" s="202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</row>
    <row r="3" spans="1:1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4</v>
      </c>
      <c r="Q3" s="178">
        <v>4</v>
      </c>
    </row>
    <row r="4" spans="1:1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</row>
    <row r="5" spans="1:1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</row>
    <row r="6" spans="1:1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</row>
    <row r="7" spans="1:1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</row>
    <row r="8" spans="1:1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</row>
    <row r="9" spans="1:1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</row>
    <row r="10" spans="1:1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</row>
    <row r="13" spans="1:1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</row>
    <row r="14" spans="1:1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</row>
    <row r="15" spans="1:1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</row>
    <row r="16" spans="1:1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</row>
    <row r="17" spans="1:17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</row>
    <row r="18" spans="1:17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</row>
    <row r="19" spans="1:1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</row>
    <row r="20" spans="1:17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</row>
    <row r="22" spans="1:1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</row>
    <row r="23" spans="1:1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</row>
    <row r="24" spans="1:17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</row>
    <row r="25" spans="1:17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78">
        <f>P17+P18+P21+P22-P24</f>
        <v>22</v>
      </c>
      <c r="Q25" s="178">
        <f>Q17+Q18+Q21+Q22-Q24</f>
        <v>19</v>
      </c>
    </row>
    <row r="26" spans="1:1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</row>
    <row r="28" spans="1:1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</row>
    <row r="29" spans="1:1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</row>
    <row r="30" spans="1:17" ht="56.6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8">
        <f t="shared" ref="J30:O30" si="5">J31+10*LOG10(J28/J13)-J32</f>
        <v>12.771212547196624</v>
      </c>
      <c r="K30" s="178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8">
        <f>P31+10*LOG10(P28/P13)-P32</f>
        <v>8.7712125471966242</v>
      </c>
      <c r="Q30" s="178">
        <f>Q31+10*LOG10(Q28/Q13)-Q32</f>
        <v>8.7712125471966242</v>
      </c>
    </row>
    <row r="31" spans="1:1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</row>
    <row r="32" spans="1:17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</row>
    <row r="33" spans="1:17" ht="28.3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</row>
    <row r="34" spans="1:17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</row>
    <row r="35" spans="1:1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</row>
    <row r="36" spans="1:1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</row>
    <row r="37" spans="1:1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</row>
    <row r="38" spans="1:1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</row>
    <row r="39" spans="1:17" ht="28.3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8">
        <f t="shared" ref="J39:O39" si="7">10*LOG10(10^((J35+J36)/10)+10^(J37/10))</f>
        <v>-160.9583889004532</v>
      </c>
      <c r="K39" s="178">
        <f t="shared" si="7"/>
        <v>-160.9583889004532</v>
      </c>
      <c r="L39" s="176">
        <f t="shared" si="7"/>
        <v>-164.03352307536667</v>
      </c>
      <c r="M39" s="176">
        <f t="shared" si="7"/>
        <v>-164.03352307536667</v>
      </c>
      <c r="N39" s="176">
        <f t="shared" si="7"/>
        <v>-169.00000000000003</v>
      </c>
      <c r="O39" s="176">
        <f t="shared" si="7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</row>
    <row r="40" spans="1:17" ht="28.3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</row>
    <row r="41" spans="1:17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8">
        <f t="shared" ref="J41:O41" si="9">1*12*30*1000</f>
        <v>360000</v>
      </c>
      <c r="K41" s="178">
        <f t="shared" si="9"/>
        <v>360000</v>
      </c>
      <c r="L41" s="176">
        <f t="shared" si="9"/>
        <v>360000</v>
      </c>
      <c r="M41" s="176">
        <f t="shared" si="9"/>
        <v>360000</v>
      </c>
      <c r="N41" s="176">
        <f t="shared" si="9"/>
        <v>360000</v>
      </c>
      <c r="O41" s="176">
        <f t="shared" si="9"/>
        <v>360000</v>
      </c>
      <c r="P41" s="178">
        <f>1*12*30*1000</f>
        <v>360000</v>
      </c>
      <c r="Q41" s="178">
        <f>1*12*30*1000</f>
        <v>360000</v>
      </c>
    </row>
    <row r="42" spans="1:1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</row>
    <row r="43" spans="1:17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8">
        <f t="shared" ref="J43:O43" si="11">J39+10*LOG10(J41)</f>
        <v>-105.39536389278032</v>
      </c>
      <c r="K43" s="178">
        <f t="shared" si="11"/>
        <v>-105.39536389278032</v>
      </c>
      <c r="L43" s="176">
        <f t="shared" si="11"/>
        <v>-108.4704980676938</v>
      </c>
      <c r="M43" s="176">
        <f t="shared" si="11"/>
        <v>-108.4704980676938</v>
      </c>
      <c r="N43" s="176">
        <f t="shared" si="11"/>
        <v>-113.43697499232715</v>
      </c>
      <c r="O43" s="176">
        <f t="shared" si="11"/>
        <v>-113.43697499232715</v>
      </c>
      <c r="P43" s="178">
        <f>P39+10*LOG10(P41)</f>
        <v>-113.43697499232715</v>
      </c>
      <c r="Q43" s="178">
        <f>Q39+10*LOG10(Q41)</f>
        <v>-113.43697499232715</v>
      </c>
    </row>
    <row r="44" spans="1:1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</row>
    <row r="45" spans="1:17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</row>
    <row r="46" spans="1:1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</row>
    <row r="47" spans="1:1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</row>
    <row r="48" spans="1:17" ht="28.3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</row>
    <row r="50" spans="1:17" ht="28.3">
      <c r="A50" s="8" t="s">
        <v>80</v>
      </c>
      <c r="B50" s="13">
        <f t="shared" ref="B50:I50" si="12">B43+B45+B47-B48</f>
        <v>-112.13697499232715</v>
      </c>
      <c r="C50" s="13">
        <f t="shared" si="12"/>
        <v>-111.73697499232715</v>
      </c>
      <c r="D50" s="13">
        <f t="shared" si="12"/>
        <v>-117.48697499232715</v>
      </c>
      <c r="E50" s="13">
        <f t="shared" si="12"/>
        <v>-117.48697499232715</v>
      </c>
      <c r="F50" s="86">
        <f t="shared" si="12"/>
        <v>-115.44697499232716</v>
      </c>
      <c r="G50" s="86">
        <f t="shared" si="12"/>
        <v>-115.10697499232715</v>
      </c>
      <c r="H50" s="13">
        <f t="shared" si="12"/>
        <v>-104.20006389278032</v>
      </c>
      <c r="I50" s="13">
        <f t="shared" si="12"/>
        <v>-104.20006389278032</v>
      </c>
      <c r="J50" s="178">
        <f t="shared" ref="J50:O50" si="13">J43+J45+J47-J48</f>
        <v>-103.39536389278032</v>
      </c>
      <c r="K50" s="178">
        <f t="shared" si="13"/>
        <v>-103.39536389278032</v>
      </c>
      <c r="L50" s="176">
        <f t="shared" si="13"/>
        <v>-114.9804980676938</v>
      </c>
      <c r="M50" s="176">
        <f t="shared" si="13"/>
        <v>-114.9804980676938</v>
      </c>
      <c r="N50" s="176">
        <f t="shared" si="13"/>
        <v>-118.23697499232715</v>
      </c>
      <c r="O50" s="176">
        <f t="shared" si="13"/>
        <v>-118.23697499232715</v>
      </c>
      <c r="P50" s="178">
        <f>P43+P45+P47-P48</f>
        <v>-116.86697499232716</v>
      </c>
      <c r="Q50" s="178">
        <f>Q43+Q45+Q47-Q48</f>
        <v>-116.86697499232716</v>
      </c>
    </row>
    <row r="51" spans="1:17" ht="28.3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</row>
    <row r="52" spans="1:17" ht="28.3">
      <c r="A52" s="22" t="s">
        <v>83</v>
      </c>
      <c r="B52" s="23">
        <f t="shared" ref="B52:I52" si="14">B25+B30+B33-B34-B50</f>
        <v>151.90818753952379</v>
      </c>
      <c r="C52" s="23">
        <f t="shared" si="14"/>
        <v>148.50818753952376</v>
      </c>
      <c r="D52" s="23">
        <f t="shared" si="14"/>
        <v>158.34818753952376</v>
      </c>
      <c r="E52" s="23">
        <f t="shared" si="14"/>
        <v>155.34818753952376</v>
      </c>
      <c r="F52" s="90">
        <f t="shared" si="14"/>
        <v>155.2181875395238</v>
      </c>
      <c r="G52" s="90">
        <f t="shared" si="14"/>
        <v>151.87818753952376</v>
      </c>
      <c r="H52" s="23">
        <f t="shared" si="14"/>
        <v>151.02277622317601</v>
      </c>
      <c r="I52" s="23">
        <f t="shared" si="14"/>
        <v>148.02277622317601</v>
      </c>
      <c r="J52" s="179">
        <f t="shared" ref="J52:O52" si="15">J25+J30+J33-J34-J50</f>
        <v>150.21657643997696</v>
      </c>
      <c r="K52" s="179">
        <f t="shared" si="15"/>
        <v>147.21657643997696</v>
      </c>
      <c r="L52" s="179">
        <f t="shared" si="15"/>
        <v>158.75171061489044</v>
      </c>
      <c r="M52" s="179">
        <f t="shared" si="15"/>
        <v>155.75171061489044</v>
      </c>
      <c r="N52" s="179">
        <f t="shared" si="15"/>
        <v>158.00818753952376</v>
      </c>
      <c r="O52" s="179">
        <f t="shared" si="15"/>
        <v>155.00818753952376</v>
      </c>
      <c r="P52" s="179">
        <f>P25+P30+P33-P34-P50</f>
        <v>153.63818753952378</v>
      </c>
      <c r="Q52" s="179">
        <f>Q25+Q30+Q33-Q34-Q50</f>
        <v>150.63818753952378</v>
      </c>
    </row>
    <row r="53" spans="1:17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</row>
    <row r="56" spans="1:17" ht="28.3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</row>
    <row r="57" spans="1:17" ht="28.3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</row>
    <row r="58" spans="1:1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</row>
    <row r="59" spans="1:1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</row>
    <row r="60" spans="1:1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</row>
    <row r="61" spans="1:17" ht="28.3">
      <c r="A61" s="22" t="s">
        <v>108</v>
      </c>
      <c r="B61" s="23">
        <f t="shared" ref="B61:I61" si="16">B52-B56+B58-B59+B60</f>
        <v>118.09818753952379</v>
      </c>
      <c r="C61" s="23">
        <f t="shared" si="16"/>
        <v>114.69818753952376</v>
      </c>
      <c r="D61" s="23">
        <f t="shared" si="16"/>
        <v>124.53818753952376</v>
      </c>
      <c r="E61" s="23">
        <f t="shared" si="16"/>
        <v>121.53818753952376</v>
      </c>
      <c r="F61" s="90">
        <f t="shared" si="16"/>
        <v>121.40818753952379</v>
      </c>
      <c r="G61" s="90">
        <f t="shared" si="16"/>
        <v>118.06818753952376</v>
      </c>
      <c r="H61" s="23">
        <f t="shared" si="16"/>
        <v>117.21277622317601</v>
      </c>
      <c r="I61" s="23">
        <f t="shared" si="16"/>
        <v>114.21277622317601</v>
      </c>
      <c r="J61" s="179">
        <f t="shared" ref="J61:O61" si="17">J52-J56+J58-J59+J60</f>
        <v>116.38657643997695</v>
      </c>
      <c r="K61" s="179">
        <f t="shared" si="17"/>
        <v>113.38657643997695</v>
      </c>
      <c r="L61" s="179">
        <f t="shared" si="17"/>
        <v>124.94171061489044</v>
      </c>
      <c r="M61" s="179">
        <f t="shared" si="17"/>
        <v>121.94171061489044</v>
      </c>
      <c r="N61" s="179">
        <f t="shared" si="17"/>
        <v>124.19818753952376</v>
      </c>
      <c r="O61" s="179">
        <f t="shared" si="17"/>
        <v>121.19818753952376</v>
      </c>
      <c r="P61" s="179">
        <f>P52-P56+P58-P59+P60</f>
        <v>119.82818753952378</v>
      </c>
      <c r="Q61" s="179">
        <f>Q52-Q56+Q58-Q59+Q60</f>
        <v>116.82818753952378</v>
      </c>
    </row>
    <row r="62" spans="1:17" ht="28.3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2"/>
    </row>
    <row r="64" spans="1:17">
      <c r="A64" s="22" t="s">
        <v>97</v>
      </c>
      <c r="B64" s="23">
        <f t="shared" ref="B64:I64" si="18">B17+B22-B50+B21+B33</f>
        <v>143.13697499232717</v>
      </c>
      <c r="C64" s="23">
        <f t="shared" si="18"/>
        <v>142.73697499232713</v>
      </c>
      <c r="D64" s="23">
        <f t="shared" si="18"/>
        <v>152.52697499232713</v>
      </c>
      <c r="E64" s="23">
        <f t="shared" si="18"/>
        <v>152.52697499232713</v>
      </c>
      <c r="F64" s="90">
        <f t="shared" si="18"/>
        <v>146.44697499232717</v>
      </c>
      <c r="G64" s="90">
        <f t="shared" si="18"/>
        <v>146.10697499232714</v>
      </c>
      <c r="H64" s="23">
        <f t="shared" si="18"/>
        <v>142.25156367597938</v>
      </c>
      <c r="I64" s="23">
        <f t="shared" si="18"/>
        <v>142.25156367597938</v>
      </c>
      <c r="J64" s="179">
        <f t="shared" ref="J64:O64" si="19">J17+J22-J50+J21+J33</f>
        <v>141.44536389278034</v>
      </c>
      <c r="K64" s="179">
        <f t="shared" si="19"/>
        <v>141.44536389278034</v>
      </c>
      <c r="L64" s="179">
        <f t="shared" si="19"/>
        <v>149.98049806769382</v>
      </c>
      <c r="M64" s="179">
        <f t="shared" si="19"/>
        <v>149.98049806769382</v>
      </c>
      <c r="N64" s="179">
        <f t="shared" si="19"/>
        <v>149.23697499232713</v>
      </c>
      <c r="O64" s="179">
        <f t="shared" si="19"/>
        <v>149.23697499232713</v>
      </c>
      <c r="P64" s="179">
        <f>P17+P22-P50+P21+P33</f>
        <v>148.86697499232716</v>
      </c>
      <c r="Q64" s="179">
        <f>Q17+Q22-Q50+Q21+Q33</f>
        <v>148.86697499232716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T1" sqref="T1:U1"/>
    </sheetView>
  </sheetViews>
  <sheetFormatPr defaultColWidth="9" defaultRowHeight="15"/>
  <cols>
    <col min="1" max="1" width="62.140625" style="1" customWidth="1"/>
    <col min="2" max="2" width="15.640625" style="2" customWidth="1"/>
    <col min="3" max="3" width="15.640625" style="3" customWidth="1"/>
    <col min="4" max="4" width="15.640625" style="2" customWidth="1"/>
    <col min="5" max="5" width="15.640625" style="3" customWidth="1"/>
    <col min="6" max="6" width="15.640625" style="82" customWidth="1"/>
    <col min="7" max="9" width="15.640625" style="3" customWidth="1"/>
    <col min="10" max="10" width="13.5" style="3" customWidth="1"/>
    <col min="11" max="11" width="16.7109375" style="3" customWidth="1"/>
    <col min="12" max="12" width="15.640625" style="2" customWidth="1"/>
    <col min="13" max="13" width="15.640625" style="3" customWidth="1"/>
    <col min="14" max="14" width="15.640625" style="2" customWidth="1"/>
    <col min="15" max="15" width="15.640625" style="3" customWidth="1"/>
    <col min="16" max="16" width="15.640625" style="2" customWidth="1"/>
    <col min="17" max="17" width="15.640625" style="3" customWidth="1"/>
    <col min="18" max="18" width="15.640625" style="2" customWidth="1"/>
    <col min="19" max="19" width="15.640625" style="3" customWidth="1"/>
    <col min="20" max="20" width="15.5703125" style="2" customWidth="1"/>
    <col min="21" max="21" width="15.570312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125</v>
      </c>
      <c r="Q1" s="202"/>
      <c r="R1" s="202" t="s">
        <v>128</v>
      </c>
      <c r="S1" s="202"/>
      <c r="T1" s="202" t="s">
        <v>129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</row>
    <row r="4" spans="1:2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</row>
    <row r="7" spans="1:21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</row>
    <row r="8" spans="1:21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</row>
    <row r="9" spans="1:21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</row>
    <row r="10" spans="1:2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</row>
    <row r="14" spans="1:2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</row>
    <row r="15" spans="1:2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</row>
    <row r="16" spans="1:2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28.3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2.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  <c r="T18" s="178">
        <f>T19+10*LOG10(T12/T14)-T20</f>
        <v>0</v>
      </c>
      <c r="U18" s="178">
        <f>U19+10*LOG10(U12/U14)-U20</f>
        <v>-3</v>
      </c>
    </row>
    <row r="19" spans="1:2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2.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</row>
    <row r="22" spans="1:2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28.3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</row>
    <row r="26" spans="1:21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26">
        <v>22</v>
      </c>
      <c r="K26" s="126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  <c r="T26" s="178">
        <f>T17+T18+T21-T23-T24</f>
        <v>22</v>
      </c>
      <c r="U26" s="178">
        <f>U17+U18+U21-U23-U24</f>
        <v>19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</row>
    <row r="29" spans="1:2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56.6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24">
        <v>12.771212547196624</v>
      </c>
      <c r="K30" s="124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  <c r="T30" s="178">
        <f>T31+10*LOG10(T28/T13)-T32</f>
        <v>8.7712125471966242</v>
      </c>
      <c r="U30" s="178">
        <f>U31+10*LOG10(U28/U13)-U32</f>
        <v>8.7712125471966242</v>
      </c>
    </row>
    <row r="31" spans="1:2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2.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</row>
    <row r="33" spans="1:21" ht="28.3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</row>
    <row r="34" spans="1:21" ht="28.3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</row>
    <row r="37" spans="1:21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</row>
    <row r="38" spans="1:21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</row>
    <row r="39" spans="1:21" ht="28.3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</row>
    <row r="40" spans="1:21" ht="28.3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24">
        <v>-169.00000000000003</v>
      </c>
      <c r="K40" s="124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  <c r="T40" s="178">
        <f>10*LOG10(10^((T35+T36)/10)+10^(T38/10))</f>
        <v>-169.00000000000003</v>
      </c>
      <c r="U40" s="178">
        <f>10*LOG10(10^((U35+U36)/10)+10^(U38/10))</f>
        <v>-169.00000000000003</v>
      </c>
    </row>
    <row r="41" spans="1:21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</row>
    <row r="42" spans="1:21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8">30*360*1000</f>
        <v>10800000</v>
      </c>
      <c r="M42" s="182">
        <f t="shared" si="8"/>
        <v>10800000</v>
      </c>
      <c r="N42" s="182">
        <f t="shared" si="8"/>
        <v>10800000</v>
      </c>
      <c r="O42" s="182">
        <f t="shared" si="8"/>
        <v>10800000</v>
      </c>
      <c r="P42" s="182">
        <f t="shared" si="8"/>
        <v>10800000</v>
      </c>
      <c r="Q42" s="182">
        <f t="shared" si="8"/>
        <v>10800000</v>
      </c>
      <c r="R42" s="182">
        <f>30*360*1000</f>
        <v>10800000</v>
      </c>
      <c r="S42" s="182">
        <f>30*360*1000</f>
        <v>10800000</v>
      </c>
      <c r="T42" s="182">
        <f>30*360*1000</f>
        <v>10800000</v>
      </c>
      <c r="U42" s="182">
        <f>30*360*1000</f>
        <v>10800000</v>
      </c>
    </row>
    <row r="43" spans="1:21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</row>
    <row r="44" spans="1:21">
      <c r="A44" s="8" t="s">
        <v>72</v>
      </c>
      <c r="B44" s="13">
        <f t="shared" ref="B44:I44" si="9">B40+10*LOG10(B42)</f>
        <v>-98.965394678904971</v>
      </c>
      <c r="C44" s="13">
        <f t="shared" si="9"/>
        <v>-98.965394678904971</v>
      </c>
      <c r="D44" s="13">
        <f t="shared" si="9"/>
        <v>-97.996294548824409</v>
      </c>
      <c r="E44" s="13">
        <f t="shared" si="9"/>
        <v>-97.996294548824409</v>
      </c>
      <c r="F44" s="86">
        <f t="shared" si="9"/>
        <v>-98.66576244513054</v>
      </c>
      <c r="G44" s="86">
        <f t="shared" si="9"/>
        <v>-98.66576244513054</v>
      </c>
      <c r="H44" s="13">
        <f t="shared" si="9"/>
        <v>-93.699285520497185</v>
      </c>
      <c r="I44" s="13">
        <f t="shared" si="9"/>
        <v>-93.699285520497185</v>
      </c>
      <c r="J44" s="124">
        <v>-98.66576244513054</v>
      </c>
      <c r="K44" s="124">
        <v>-98.66576244513054</v>
      </c>
      <c r="L44" s="178">
        <f t="shared" ref="L44:Q44" si="10">L40+10*LOG10(L42)</f>
        <v>-93.699285520497185</v>
      </c>
      <c r="M44" s="178">
        <f t="shared" si="10"/>
        <v>-93.699285520497185</v>
      </c>
      <c r="N44" s="176">
        <f t="shared" si="10"/>
        <v>-98.66576244513054</v>
      </c>
      <c r="O44" s="176">
        <f t="shared" si="10"/>
        <v>-98.66576244513054</v>
      </c>
      <c r="P44" s="176">
        <f t="shared" si="10"/>
        <v>-93.699285520497185</v>
      </c>
      <c r="Q44" s="176">
        <f t="shared" si="10"/>
        <v>-93.699285520497185</v>
      </c>
      <c r="R44" s="176">
        <f>R40+10*LOG10(R42)</f>
        <v>-98.66576244513054</v>
      </c>
      <c r="S44" s="176">
        <f>S40+10*LOG10(S42)</f>
        <v>-98.66576244513054</v>
      </c>
      <c r="T44" s="178">
        <f>T40+10*LOG10(T42)</f>
        <v>-98.66576244513054</v>
      </c>
      <c r="U44" s="178">
        <f>U40+10*LOG10(U42)</f>
        <v>-98.66576244513054</v>
      </c>
    </row>
    <row r="45" spans="1:21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</row>
    <row r="46" spans="1:21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</row>
    <row r="47" spans="1:2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28.3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</row>
    <row r="49" spans="1:21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</row>
    <row r="50" spans="1:21" ht="28.3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</row>
    <row r="51" spans="1:21" ht="28.3">
      <c r="A51" s="8" t="s">
        <v>82</v>
      </c>
      <c r="B51" s="13">
        <f t="shared" ref="B51:I51" si="11">B44+B46+B47-B49</f>
        <v>-98.265394678904968</v>
      </c>
      <c r="C51" s="13">
        <f t="shared" si="11"/>
        <v>-98.265394678904968</v>
      </c>
      <c r="D51" s="13">
        <f t="shared" si="11"/>
        <v>-102.15629454882441</v>
      </c>
      <c r="E51" s="13">
        <f t="shared" si="11"/>
        <v>-102.15629454882441</v>
      </c>
      <c r="F51" s="86">
        <f t="shared" si="11"/>
        <v>-103.23576244513055</v>
      </c>
      <c r="G51" s="86">
        <f t="shared" si="11"/>
        <v>-103.19576244513054</v>
      </c>
      <c r="H51" s="13">
        <f t="shared" si="11"/>
        <v>-92.449285520497185</v>
      </c>
      <c r="I51" s="13">
        <f t="shared" si="11"/>
        <v>-92.619285520497186</v>
      </c>
      <c r="J51" s="124">
        <v>-108.86576244513054</v>
      </c>
      <c r="K51" s="124">
        <v>-108.86576244513054</v>
      </c>
      <c r="L51" s="178">
        <f t="shared" ref="L51:Q51" si="12">L44+L46+L47-L49</f>
        <v>-93.969285520497181</v>
      </c>
      <c r="M51" s="178">
        <f t="shared" si="12"/>
        <v>-93.969285520497181</v>
      </c>
      <c r="N51" s="176">
        <f t="shared" si="12"/>
        <v>-103.00576244513054</v>
      </c>
      <c r="O51" s="176">
        <f t="shared" si="12"/>
        <v>-103.00576244513054</v>
      </c>
      <c r="P51" s="176">
        <f t="shared" si="12"/>
        <v>-96.259285520497187</v>
      </c>
      <c r="Q51" s="176">
        <f t="shared" si="12"/>
        <v>-96.259285520497187</v>
      </c>
      <c r="R51" s="176">
        <f>R44+R46+R47-R49</f>
        <v>-101.66576244513054</v>
      </c>
      <c r="S51" s="176">
        <f>S44+S46+S47-S49</f>
        <v>-101.66576244513054</v>
      </c>
      <c r="T51" s="178">
        <f>T44+T46+T47-T49</f>
        <v>-107.26576244513053</v>
      </c>
      <c r="U51" s="178">
        <f>U44+U46+U47-U49</f>
        <v>-107.26576244513053</v>
      </c>
    </row>
    <row r="52" spans="1:21" ht="28.3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</row>
    <row r="53" spans="1:21" ht="28.3">
      <c r="A53" s="45" t="s">
        <v>85</v>
      </c>
      <c r="B53" s="23">
        <f t="shared" ref="B53:I53" si="13">B26+B30+B33-B34-B51</f>
        <v>142.03660722610158</v>
      </c>
      <c r="C53" s="23">
        <f t="shared" si="13"/>
        <v>139.03660722610158</v>
      </c>
      <c r="D53" s="23">
        <f t="shared" si="13"/>
        <v>143.01750709602103</v>
      </c>
      <c r="E53" s="23">
        <f t="shared" si="13"/>
        <v>140.01750709602103</v>
      </c>
      <c r="F53" s="90">
        <f t="shared" si="13"/>
        <v>147.00697499232717</v>
      </c>
      <c r="G53" s="90">
        <f t="shared" si="13"/>
        <v>143.96697499232715</v>
      </c>
      <c r="H53" s="23">
        <f t="shared" si="13"/>
        <v>139.27199785089289</v>
      </c>
      <c r="I53" s="23">
        <f t="shared" si="13"/>
        <v>136.44199785089288</v>
      </c>
      <c r="J53" s="127">
        <v>152.63697499232717</v>
      </c>
      <c r="K53" s="127">
        <v>149.63697499232717</v>
      </c>
      <c r="L53" s="179">
        <f t="shared" ref="L53:Q53" si="14">L26+L30+L33-L34-L51</f>
        <v>140.79049806769382</v>
      </c>
      <c r="M53" s="179">
        <f t="shared" si="14"/>
        <v>137.79049806769382</v>
      </c>
      <c r="N53" s="179">
        <f t="shared" si="14"/>
        <v>146.77697499232715</v>
      </c>
      <c r="O53" s="179">
        <f t="shared" si="14"/>
        <v>143.77697499232715</v>
      </c>
      <c r="P53" s="179">
        <f t="shared" si="14"/>
        <v>140.03049806769383</v>
      </c>
      <c r="Q53" s="179">
        <f t="shared" si="14"/>
        <v>137.03049806769383</v>
      </c>
      <c r="R53" s="179">
        <f>R26+R30+R33-R34-R51</f>
        <v>145.43697499232718</v>
      </c>
      <c r="S53" s="179">
        <f>S26+S30+S33-S34-S51</f>
        <v>142.43697499232718</v>
      </c>
      <c r="T53" s="179">
        <f>T26+T30+T33-T34-T51</f>
        <v>144.03697499232715</v>
      </c>
      <c r="U53" s="179">
        <f>U26+U30+U33-U34-U51</f>
        <v>141.03697499232715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28.3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</row>
    <row r="57" spans="1:21" ht="28.3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</row>
    <row r="58" spans="1:2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28.3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</row>
    <row r="62" spans="1:21" ht="28.3">
      <c r="A62" s="45" t="s">
        <v>109</v>
      </c>
      <c r="B62" s="23">
        <f t="shared" ref="B62:I62" si="15">B53-B57+B58-B59+B60</f>
        <v>111.30660722610159</v>
      </c>
      <c r="C62" s="23">
        <f t="shared" si="15"/>
        <v>108.30660722610159</v>
      </c>
      <c r="D62" s="23">
        <f t="shared" si="15"/>
        <v>112.28750709602105</v>
      </c>
      <c r="E62" s="23">
        <f t="shared" si="15"/>
        <v>109.28750709602105</v>
      </c>
      <c r="F62" s="90">
        <f t="shared" si="15"/>
        <v>116.27697499232718</v>
      </c>
      <c r="G62" s="90">
        <f t="shared" si="15"/>
        <v>113.23697499232716</v>
      </c>
      <c r="H62" s="23">
        <f t="shared" si="15"/>
        <v>108.5419978508929</v>
      </c>
      <c r="I62" s="23">
        <f t="shared" si="15"/>
        <v>105.71199785089289</v>
      </c>
      <c r="J62" s="127">
        <v>121.90697499232718</v>
      </c>
      <c r="K62" s="127">
        <v>118.90697499232718</v>
      </c>
      <c r="L62" s="179">
        <f t="shared" ref="L62:Q62" si="16">L53-L57+L58-L59+L60</f>
        <v>110.06049806769383</v>
      </c>
      <c r="M62" s="179">
        <f t="shared" si="16"/>
        <v>107.06049806769383</v>
      </c>
      <c r="N62" s="179">
        <f t="shared" si="16"/>
        <v>116.04697499232716</v>
      </c>
      <c r="O62" s="179">
        <f t="shared" si="16"/>
        <v>113.04697499232716</v>
      </c>
      <c r="P62" s="179">
        <f t="shared" si="16"/>
        <v>109.30049806769384</v>
      </c>
      <c r="Q62" s="179">
        <f t="shared" si="16"/>
        <v>106.30049806769384</v>
      </c>
      <c r="R62" s="179">
        <f>R53-R57+R58-R59+R60</f>
        <v>114.70697499232719</v>
      </c>
      <c r="S62" s="179">
        <f>S53-S57+S58-S59+S60</f>
        <v>111.70697499232719</v>
      </c>
      <c r="T62" s="179">
        <f>T53-T57+T58-T59+T60</f>
        <v>113.30697499232716</v>
      </c>
      <c r="U62" s="179">
        <f>U53-U57+U58-U59+U60</f>
        <v>110.30697499232716</v>
      </c>
    </row>
    <row r="63" spans="1:21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</row>
    <row r="64" spans="1:21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</row>
    <row r="65" spans="1:21">
      <c r="A65" s="45" t="s">
        <v>98</v>
      </c>
      <c r="B65" s="23">
        <f t="shared" ref="B65:I65" si="17">B17-B23-B51+B21+B33</f>
        <v>133.26539467890495</v>
      </c>
      <c r="C65" s="23">
        <f t="shared" si="17"/>
        <v>133.26539467890495</v>
      </c>
      <c r="D65" s="23">
        <f t="shared" si="17"/>
        <v>137.1962945488244</v>
      </c>
      <c r="E65" s="23">
        <f t="shared" si="17"/>
        <v>137.1962945488244</v>
      </c>
      <c r="F65" s="90">
        <f t="shared" si="17"/>
        <v>138.23576244513055</v>
      </c>
      <c r="G65" s="90">
        <f t="shared" si="17"/>
        <v>138.19576244513053</v>
      </c>
      <c r="H65" s="23">
        <f t="shared" si="17"/>
        <v>130.50078530369623</v>
      </c>
      <c r="I65" s="23">
        <f t="shared" si="17"/>
        <v>130.67078530369625</v>
      </c>
      <c r="J65" s="127">
        <v>143.86576244513054</v>
      </c>
      <c r="K65" s="127">
        <v>143.86576244513054</v>
      </c>
      <c r="L65" s="179">
        <f t="shared" ref="L65:Q65" si="18">L17-L23-L51+L21+L33</f>
        <v>132.01928552049719</v>
      </c>
      <c r="M65" s="179">
        <f t="shared" si="18"/>
        <v>132.01928552049719</v>
      </c>
      <c r="N65" s="179">
        <f t="shared" si="18"/>
        <v>138.00576244513053</v>
      </c>
      <c r="O65" s="179">
        <f t="shared" si="18"/>
        <v>138.00576244513053</v>
      </c>
      <c r="P65" s="179">
        <f t="shared" si="18"/>
        <v>131.2592855204972</v>
      </c>
      <c r="Q65" s="179">
        <f t="shared" si="18"/>
        <v>131.2592855204972</v>
      </c>
      <c r="R65" s="179">
        <f>R17-R23-R51+R21+R33</f>
        <v>136.66576244513055</v>
      </c>
      <c r="S65" s="179">
        <f>S17-S23-S51+S21+S33</f>
        <v>136.66576244513055</v>
      </c>
      <c r="T65" s="179">
        <f>T17-T23-T51+T21+T33</f>
        <v>139.26576244513052</v>
      </c>
      <c r="U65" s="179">
        <f>U17-U23-U51+U21+U33</f>
        <v>139.26576244513052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65"/>
  <sheetViews>
    <sheetView workbookViewId="0">
      <pane xSplit="1" ySplit="1" topLeftCell="V2" activePane="bottomRight" state="frozen"/>
      <selection pane="topRight"/>
      <selection pane="bottomLeft"/>
      <selection pane="bottomRight" activeCell="AE1" sqref="AE1"/>
    </sheetView>
  </sheetViews>
  <sheetFormatPr defaultColWidth="9" defaultRowHeight="15"/>
  <cols>
    <col min="1" max="1" width="62.140625" style="1" customWidth="1"/>
    <col min="2" max="2" width="15.640625" style="2" customWidth="1"/>
    <col min="3" max="4" width="15.640625" style="3" customWidth="1"/>
    <col min="5" max="5" width="15.640625" style="2" customWidth="1"/>
    <col min="6" max="6" width="15.640625" style="3" customWidth="1"/>
    <col min="7" max="7" width="15.640625" style="82" customWidth="1"/>
    <col min="8" max="12" width="15.640625" style="3" customWidth="1"/>
    <col min="13" max="13" width="22.2109375" style="3" customWidth="1"/>
    <col min="14" max="14" width="19.640625" style="3" customWidth="1"/>
    <col min="15" max="15" width="18.2109375" style="3" customWidth="1"/>
    <col min="16" max="16" width="15.640625" style="2" customWidth="1"/>
    <col min="17" max="18" width="15.640625" style="3" customWidth="1"/>
    <col min="19" max="19" width="15.640625" style="2" customWidth="1"/>
    <col min="20" max="21" width="15.640625" style="3" customWidth="1"/>
    <col min="22" max="22" width="15.640625" style="2" customWidth="1"/>
    <col min="23" max="24" width="15.640625" style="3" customWidth="1"/>
    <col min="25" max="25" width="15.640625" style="2" customWidth="1"/>
    <col min="26" max="27" width="15.640625" style="3" customWidth="1"/>
    <col min="28" max="28" width="15.5703125" style="2" customWidth="1"/>
    <col min="29" max="30" width="15.5703125" style="3" customWidth="1"/>
    <col min="31" max="16384" width="9" style="3"/>
  </cols>
  <sheetData>
    <row r="1" spans="1:30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</row>
    <row r="2" spans="1:30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</row>
    <row r="3" spans="1:30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</row>
    <row r="4" spans="1:30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</row>
    <row r="5" spans="1:30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</row>
    <row r="6" spans="1:30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</row>
    <row r="7" spans="1:30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</row>
    <row r="8" spans="1:30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</row>
    <row r="9" spans="1:30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</row>
    <row r="10" spans="1:30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</row>
    <row r="11" spans="1:30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</row>
    <row r="12" spans="1:30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</row>
    <row r="13" spans="1:30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</row>
    <row r="14" spans="1:30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</row>
    <row r="15" spans="1:30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</row>
    <row r="16" spans="1:30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</row>
    <row r="17" spans="1:30" ht="28.3">
      <c r="A17" s="8" t="s">
        <v>35</v>
      </c>
      <c r="B17" s="29">
        <f t="shared" ref="B17:L17" si="3">B15+10*LOG10(B41/1000000)</f>
        <v>45.375437381428746</v>
      </c>
      <c r="C17" s="29">
        <f t="shared" si="3"/>
        <v>45.375437381428746</v>
      </c>
      <c r="D17" s="29">
        <f t="shared" si="3"/>
        <v>45.375437381428746</v>
      </c>
      <c r="E17" s="29">
        <f t="shared" si="3"/>
        <v>36.375437381428746</v>
      </c>
      <c r="F17" s="29">
        <f t="shared" si="3"/>
        <v>36.375437381428746</v>
      </c>
      <c r="G17" s="73">
        <f t="shared" si="3"/>
        <v>36.375437381428746</v>
      </c>
      <c r="H17" s="73">
        <f t="shared" si="3"/>
        <v>36.375437381428746</v>
      </c>
      <c r="I17" s="73">
        <f t="shared" si="3"/>
        <v>36.375437381428746</v>
      </c>
      <c r="J17" s="13">
        <f t="shared" si="3"/>
        <v>45.375437381428746</v>
      </c>
      <c r="K17" s="13">
        <f t="shared" si="3"/>
        <v>45.375437381428746</v>
      </c>
      <c r="L17" s="13">
        <f t="shared" si="3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4">P15+10*LOG10(P41/1000000)</f>
        <v>45.375437381428746</v>
      </c>
      <c r="Q17" s="164">
        <f t="shared" si="4"/>
        <v>45.375437381428746</v>
      </c>
      <c r="R17" s="164">
        <f t="shared" si="4"/>
        <v>45.375437381428746</v>
      </c>
      <c r="S17" s="166">
        <f t="shared" si="4"/>
        <v>36.375437381428746</v>
      </c>
      <c r="T17" s="166">
        <f t="shared" si="4"/>
        <v>36.375437381428746</v>
      </c>
      <c r="U17" s="166">
        <f t="shared" si="4"/>
        <v>36.375437381428746</v>
      </c>
      <c r="V17" s="166">
        <f t="shared" ref="V17:AA17" si="5">V15+10*LOG10(V41/1000000)</f>
        <v>45.375437381428746</v>
      </c>
      <c r="W17" s="166">
        <f t="shared" si="5"/>
        <v>45.375437381428746</v>
      </c>
      <c r="X17" s="166">
        <f t="shared" si="5"/>
        <v>45.375437381428746</v>
      </c>
      <c r="Y17" s="166">
        <f t="shared" si="5"/>
        <v>36.375437381428746</v>
      </c>
      <c r="Z17" s="166">
        <f t="shared" si="5"/>
        <v>36.375437381428746</v>
      </c>
      <c r="AA17" s="166">
        <f t="shared" si="5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</row>
    <row r="18" spans="1:30" ht="42.45">
      <c r="A18" s="15" t="s">
        <v>37</v>
      </c>
      <c r="B18" s="29">
        <f t="shared" ref="B18:L18" si="6">B19+10*LOG10(B12/B13)-B20</f>
        <v>12.771212547196624</v>
      </c>
      <c r="C18" s="29">
        <f t="shared" si="6"/>
        <v>12.771212547196624</v>
      </c>
      <c r="D18" s="29">
        <f t="shared" si="6"/>
        <v>12.771212547196624</v>
      </c>
      <c r="E18" s="29">
        <f t="shared" si="6"/>
        <v>9.8212125471966232</v>
      </c>
      <c r="F18" s="29">
        <f t="shared" si="6"/>
        <v>9.8212125471966232</v>
      </c>
      <c r="G18" s="73">
        <f t="shared" si="6"/>
        <v>12.771212547196624</v>
      </c>
      <c r="H18" s="73">
        <f t="shared" si="6"/>
        <v>12.771212547196624</v>
      </c>
      <c r="I18" s="73">
        <f t="shared" si="6"/>
        <v>12.771212547196624</v>
      </c>
      <c r="J18" s="13">
        <f t="shared" si="6"/>
        <v>10.121212547196624</v>
      </c>
      <c r="K18" s="13">
        <f t="shared" si="6"/>
        <v>10.121212547196624</v>
      </c>
      <c r="L18" s="13">
        <f t="shared" si="6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7">P19+10*LOG10(P12/P13)-P20</f>
        <v>12.771212547196624</v>
      </c>
      <c r="Q18" s="164">
        <f t="shared" si="7"/>
        <v>12.771212547196624</v>
      </c>
      <c r="R18" s="164">
        <f t="shared" si="7"/>
        <v>12.771212547196624</v>
      </c>
      <c r="S18" s="166">
        <f t="shared" si="7"/>
        <v>12.771212547196624</v>
      </c>
      <c r="T18" s="166">
        <f t="shared" si="7"/>
        <v>12.771212547196624</v>
      </c>
      <c r="U18" s="166">
        <f t="shared" si="7"/>
        <v>12.771212547196624</v>
      </c>
      <c r="V18" s="166">
        <f t="shared" ref="V18:AA18" si="8">V19+10*LOG10(V12/V13)-V20</f>
        <v>12.771212547196624</v>
      </c>
      <c r="W18" s="166">
        <f t="shared" si="8"/>
        <v>12.771212547196624</v>
      </c>
      <c r="X18" s="166">
        <f t="shared" si="8"/>
        <v>12.771212547196624</v>
      </c>
      <c r="Y18" s="166">
        <f t="shared" si="8"/>
        <v>12.771212547196624</v>
      </c>
      <c r="Z18" s="166">
        <f t="shared" si="8"/>
        <v>12.771212547196624</v>
      </c>
      <c r="AA18" s="166">
        <f t="shared" si="8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</row>
    <row r="19" spans="1:30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</row>
    <row r="20" spans="1:30" ht="42.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</row>
    <row r="21" spans="1:30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9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</row>
    <row r="22" spans="1:30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</row>
    <row r="23" spans="1:30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</row>
    <row r="24" spans="1:30" ht="28.3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</row>
    <row r="25" spans="1:30">
      <c r="A25" s="8" t="s">
        <v>49</v>
      </c>
      <c r="B25" s="29">
        <f t="shared" ref="B25:L25" si="10">B17+B18+B21+B22-B24</f>
        <v>63.146649928625379</v>
      </c>
      <c r="C25" s="29">
        <f t="shared" si="10"/>
        <v>63.146649928625379</v>
      </c>
      <c r="D25" s="29">
        <f t="shared" si="10"/>
        <v>63.146649928625379</v>
      </c>
      <c r="E25" s="29">
        <f t="shared" si="10"/>
        <v>44.806649928625369</v>
      </c>
      <c r="F25" s="29">
        <f t="shared" si="10"/>
        <v>44.806649928625369</v>
      </c>
      <c r="G25" s="73">
        <f t="shared" si="10"/>
        <v>54.146649928625372</v>
      </c>
      <c r="H25" s="73">
        <f t="shared" si="10"/>
        <v>54.146649928625372</v>
      </c>
      <c r="I25" s="73">
        <f t="shared" si="10"/>
        <v>54.146649928625372</v>
      </c>
      <c r="J25" s="13">
        <f t="shared" si="10"/>
        <v>59.548149711824436</v>
      </c>
      <c r="K25" s="13">
        <f t="shared" si="10"/>
        <v>59.548149711824436</v>
      </c>
      <c r="L25" s="13">
        <f t="shared" si="10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1">P17+P18+P21+P22-P24</f>
        <v>70.196649928625376</v>
      </c>
      <c r="Q25" s="164">
        <f t="shared" si="11"/>
        <v>70.196649928625376</v>
      </c>
      <c r="R25" s="164">
        <f t="shared" si="11"/>
        <v>70.196649928625376</v>
      </c>
      <c r="S25" s="166">
        <f t="shared" si="11"/>
        <v>54.146649928625372</v>
      </c>
      <c r="T25" s="166">
        <f t="shared" si="11"/>
        <v>54.146649928625372</v>
      </c>
      <c r="U25" s="166">
        <f t="shared" si="11"/>
        <v>54.146649928625372</v>
      </c>
      <c r="V25" s="166">
        <f t="shared" ref="V25:AA25" si="12">V17+V18+V21+V22-V24</f>
        <v>63.146649928625379</v>
      </c>
      <c r="W25" s="166">
        <f t="shared" si="12"/>
        <v>63.146649928625379</v>
      </c>
      <c r="X25" s="166">
        <f t="shared" si="12"/>
        <v>63.146649928625379</v>
      </c>
      <c r="Y25" s="166">
        <f t="shared" si="12"/>
        <v>54.146649928625372</v>
      </c>
      <c r="Z25" s="166">
        <f t="shared" si="12"/>
        <v>54.146649928625372</v>
      </c>
      <c r="AA25" s="166">
        <f t="shared" si="12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</row>
    <row r="26" spans="1:30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</row>
    <row r="27" spans="1:30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</row>
    <row r="28" spans="1:30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</row>
    <row r="29" spans="1:30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</row>
    <row r="30" spans="1:30" ht="56.6">
      <c r="A30" s="8" t="s">
        <v>56</v>
      </c>
      <c r="B30" s="29">
        <f t="shared" ref="B30:L30" si="13">B31+10*LOG10(B28/B29)-B32</f>
        <v>0</v>
      </c>
      <c r="C30" s="29">
        <f t="shared" si="13"/>
        <v>-3</v>
      </c>
      <c r="D30" s="29">
        <f t="shared" si="13"/>
        <v>-3</v>
      </c>
      <c r="E30" s="29">
        <f t="shared" si="13"/>
        <v>0</v>
      </c>
      <c r="F30" s="29">
        <f t="shared" si="13"/>
        <v>-3</v>
      </c>
      <c r="G30" s="73">
        <f t="shared" si="13"/>
        <v>0</v>
      </c>
      <c r="H30" s="73">
        <f t="shared" si="13"/>
        <v>-3</v>
      </c>
      <c r="I30" s="73">
        <f t="shared" si="13"/>
        <v>-3</v>
      </c>
      <c r="J30" s="13">
        <f t="shared" si="13"/>
        <v>0</v>
      </c>
      <c r="K30" s="13">
        <f t="shared" si="13"/>
        <v>-3</v>
      </c>
      <c r="L30" s="13">
        <f t="shared" si="13"/>
        <v>-3</v>
      </c>
      <c r="M30" s="140">
        <v>0</v>
      </c>
      <c r="N30" s="140">
        <v>-3</v>
      </c>
      <c r="O30" s="140">
        <v>-3</v>
      </c>
      <c r="P30" s="164">
        <f t="shared" ref="P30:U30" si="14">P31+10*LOG10(P28/P29)-P32</f>
        <v>0</v>
      </c>
      <c r="Q30" s="164">
        <f t="shared" si="14"/>
        <v>-3</v>
      </c>
      <c r="R30" s="164">
        <f t="shared" si="14"/>
        <v>-3</v>
      </c>
      <c r="S30" s="166">
        <f t="shared" si="14"/>
        <v>0</v>
      </c>
      <c r="T30" s="166">
        <f t="shared" si="14"/>
        <v>-3</v>
      </c>
      <c r="U30" s="166">
        <f t="shared" si="14"/>
        <v>-3</v>
      </c>
      <c r="V30" s="166">
        <f t="shared" ref="V30:AA30" si="15">V31+10*LOG10(V28/V29)-V32</f>
        <v>0</v>
      </c>
      <c r="W30" s="166">
        <f t="shared" si="15"/>
        <v>-3</v>
      </c>
      <c r="X30" s="166">
        <f t="shared" si="15"/>
        <v>-3</v>
      </c>
      <c r="Y30" s="166">
        <f t="shared" si="15"/>
        <v>0</v>
      </c>
      <c r="Z30" s="166">
        <f t="shared" si="15"/>
        <v>-3</v>
      </c>
      <c r="AA30" s="166">
        <f t="shared" si="15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</row>
    <row r="31" spans="1:30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</row>
    <row r="32" spans="1:30" ht="42.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</row>
    <row r="33" spans="1:30" ht="28.3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</row>
    <row r="34" spans="1:30" ht="28.3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</row>
    <row r="35" spans="1:30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</row>
    <row r="36" spans="1:30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</row>
    <row r="37" spans="1:30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</row>
    <row r="38" spans="1:30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</row>
    <row r="39" spans="1:30" ht="28.3">
      <c r="A39" s="8" t="s">
        <v>106</v>
      </c>
      <c r="B39" s="29">
        <f t="shared" ref="B39:L39" si="16">10*LOG10(10^((B35+B36)/10)+10^(B37/10))</f>
        <v>-167.00000000000003</v>
      </c>
      <c r="C39" s="29">
        <f t="shared" si="16"/>
        <v>-167.00000000000003</v>
      </c>
      <c r="D39" s="29">
        <f t="shared" si="16"/>
        <v>-167.00000000000003</v>
      </c>
      <c r="E39" s="29">
        <f t="shared" si="16"/>
        <v>-167.00000000000003</v>
      </c>
      <c r="F39" s="29">
        <f t="shared" si="16"/>
        <v>-167.00000000000003</v>
      </c>
      <c r="G39" s="73">
        <f t="shared" si="16"/>
        <v>-167.00000000000003</v>
      </c>
      <c r="H39" s="73">
        <f t="shared" si="16"/>
        <v>-167.00000000000003</v>
      </c>
      <c r="I39" s="73">
        <f t="shared" si="16"/>
        <v>-167.00000000000003</v>
      </c>
      <c r="J39" s="13">
        <f t="shared" si="16"/>
        <v>-164.98918835931039</v>
      </c>
      <c r="K39" s="13">
        <f t="shared" si="16"/>
        <v>-164.98918835931039</v>
      </c>
      <c r="L39" s="13">
        <f t="shared" si="16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17">10*LOG10(10^((P35+P36)/10)+10^(P37/10))</f>
        <v>-164.98918835931039</v>
      </c>
      <c r="Q39" s="164">
        <f t="shared" si="17"/>
        <v>-164.98918835931039</v>
      </c>
      <c r="R39" s="164">
        <f t="shared" si="17"/>
        <v>-164.98918835931039</v>
      </c>
      <c r="S39" s="166">
        <f t="shared" si="17"/>
        <v>-167.00000000000003</v>
      </c>
      <c r="T39" s="166">
        <f t="shared" si="17"/>
        <v>-167.00000000000003</v>
      </c>
      <c r="U39" s="166">
        <f t="shared" si="17"/>
        <v>-167.00000000000003</v>
      </c>
      <c r="V39" s="166">
        <f t="shared" ref="V39:AA39" si="18">10*LOG10(10^((V35+V36)/10)+10^(V37/10))</f>
        <v>-164.98918835931039</v>
      </c>
      <c r="W39" s="166">
        <f t="shared" si="18"/>
        <v>-164.98918835931039</v>
      </c>
      <c r="X39" s="166">
        <f t="shared" si="18"/>
        <v>-164.98918835931039</v>
      </c>
      <c r="Y39" s="166">
        <f t="shared" si="18"/>
        <v>-167.00000000000003</v>
      </c>
      <c r="Z39" s="166">
        <f t="shared" si="18"/>
        <v>-167.00000000000003</v>
      </c>
      <c r="AA39" s="166">
        <f t="shared" si="18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</row>
    <row r="40" spans="1:30" ht="28.3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</row>
    <row r="41" spans="1:30">
      <c r="A41" s="21" t="s">
        <v>68</v>
      </c>
      <c r="B41" s="29">
        <f t="shared" ref="B41:L41" si="19">48*360*1000</f>
        <v>17280000</v>
      </c>
      <c r="C41" s="29">
        <f t="shared" si="19"/>
        <v>17280000</v>
      </c>
      <c r="D41" s="29">
        <f t="shared" si="19"/>
        <v>17280000</v>
      </c>
      <c r="E41" s="29">
        <f t="shared" si="19"/>
        <v>17280000</v>
      </c>
      <c r="F41" s="29">
        <f t="shared" si="19"/>
        <v>17280000</v>
      </c>
      <c r="G41" s="73">
        <f t="shared" si="19"/>
        <v>17280000</v>
      </c>
      <c r="H41" s="73">
        <f t="shared" si="19"/>
        <v>17280000</v>
      </c>
      <c r="I41" s="73">
        <f t="shared" si="19"/>
        <v>17280000</v>
      </c>
      <c r="J41" s="13">
        <f t="shared" si="19"/>
        <v>17280000</v>
      </c>
      <c r="K41" s="13">
        <f t="shared" si="19"/>
        <v>17280000</v>
      </c>
      <c r="L41" s="13">
        <f t="shared" si="19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0">48*360*1000</f>
        <v>17280000</v>
      </c>
      <c r="Q41" s="164">
        <f t="shared" si="20"/>
        <v>17280000</v>
      </c>
      <c r="R41" s="164">
        <f t="shared" si="20"/>
        <v>17280000</v>
      </c>
      <c r="S41" s="166">
        <f t="shared" si="20"/>
        <v>17280000</v>
      </c>
      <c r="T41" s="166">
        <f t="shared" si="20"/>
        <v>17280000</v>
      </c>
      <c r="U41" s="166">
        <f t="shared" si="20"/>
        <v>17280000</v>
      </c>
      <c r="V41" s="166">
        <f t="shared" ref="V41:AA41" si="21">48*360*1000</f>
        <v>17280000</v>
      </c>
      <c r="W41" s="166">
        <f t="shared" si="21"/>
        <v>17280000</v>
      </c>
      <c r="X41" s="166">
        <f t="shared" si="21"/>
        <v>17280000</v>
      </c>
      <c r="Y41" s="166">
        <f t="shared" si="21"/>
        <v>17280000</v>
      </c>
      <c r="Z41" s="166">
        <f t="shared" si="21"/>
        <v>17280000</v>
      </c>
      <c r="AA41" s="166">
        <f t="shared" si="21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</row>
    <row r="42" spans="1:30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</row>
    <row r="43" spans="1:30">
      <c r="A43" s="8" t="s">
        <v>71</v>
      </c>
      <c r="B43" s="29">
        <f t="shared" ref="B43:L43" si="22">B39+10*LOG10(B41)</f>
        <v>-94.624562618571289</v>
      </c>
      <c r="C43" s="29">
        <f t="shared" si="22"/>
        <v>-94.624562618571289</v>
      </c>
      <c r="D43" s="29">
        <f t="shared" si="22"/>
        <v>-94.624562618571289</v>
      </c>
      <c r="E43" s="29">
        <f t="shared" si="22"/>
        <v>-94.624562618571289</v>
      </c>
      <c r="F43" s="29">
        <f t="shared" si="22"/>
        <v>-94.624562618571289</v>
      </c>
      <c r="G43" s="73">
        <f t="shared" si="22"/>
        <v>-94.624562618571289</v>
      </c>
      <c r="H43" s="73">
        <f t="shared" si="22"/>
        <v>-94.624562618571289</v>
      </c>
      <c r="I43" s="73">
        <f t="shared" si="22"/>
        <v>-94.624562618571289</v>
      </c>
      <c r="J43" s="13">
        <f t="shared" si="22"/>
        <v>-92.613750977881651</v>
      </c>
      <c r="K43" s="13">
        <f t="shared" si="22"/>
        <v>-92.613750977881651</v>
      </c>
      <c r="L43" s="13">
        <f t="shared" si="22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23">P39+10*LOG10(P41)</f>
        <v>-92.613750977881651</v>
      </c>
      <c r="Q43" s="164">
        <f t="shared" si="23"/>
        <v>-92.613750977881651</v>
      </c>
      <c r="R43" s="164">
        <f t="shared" si="23"/>
        <v>-92.613750977881651</v>
      </c>
      <c r="S43" s="166">
        <f t="shared" si="23"/>
        <v>-94.624562618571289</v>
      </c>
      <c r="T43" s="166">
        <f t="shared" si="23"/>
        <v>-94.624562618571289</v>
      </c>
      <c r="U43" s="166">
        <f t="shared" si="23"/>
        <v>-94.624562618571289</v>
      </c>
      <c r="V43" s="166">
        <f t="shared" ref="V43:AA43" si="24">V39+10*LOG10(V41)</f>
        <v>-92.613750977881651</v>
      </c>
      <c r="W43" s="166">
        <f t="shared" si="24"/>
        <v>-92.613750977881651</v>
      </c>
      <c r="X43" s="166">
        <f t="shared" si="24"/>
        <v>-92.613750977881651</v>
      </c>
      <c r="Y43" s="166">
        <f t="shared" si="24"/>
        <v>-94.624562618571289</v>
      </c>
      <c r="Z43" s="166">
        <f t="shared" si="24"/>
        <v>-94.624562618571289</v>
      </c>
      <c r="AA43" s="166">
        <f t="shared" si="24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</row>
    <row r="44" spans="1:30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</row>
    <row r="45" spans="1:30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</row>
    <row r="46" spans="1:30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</row>
    <row r="47" spans="1:30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</row>
    <row r="48" spans="1:30" ht="28.3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</row>
    <row r="49" spans="1:30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</row>
    <row r="50" spans="1:30" ht="28.3">
      <c r="A50" s="8" t="s">
        <v>80</v>
      </c>
      <c r="B50" s="29">
        <f t="shared" ref="B50:L50" si="25">B43+B45+B47-B48</f>
        <v>-103.72456261857128</v>
      </c>
      <c r="C50" s="29">
        <f t="shared" si="25"/>
        <v>-100.92456261857129</v>
      </c>
      <c r="D50" s="29">
        <f t="shared" si="25"/>
        <v>-97.424562618571287</v>
      </c>
      <c r="E50" s="29">
        <f t="shared" si="25"/>
        <v>-103.98456261857129</v>
      </c>
      <c r="F50" s="29">
        <f t="shared" si="25"/>
        <v>-97.754562618571285</v>
      </c>
      <c r="G50" s="73">
        <f t="shared" si="25"/>
        <v>-105.30456261857128</v>
      </c>
      <c r="H50" s="73">
        <f t="shared" si="25"/>
        <v>-102.00456261857128</v>
      </c>
      <c r="I50" s="73">
        <f t="shared" si="25"/>
        <v>-98.034562618571286</v>
      </c>
      <c r="J50" s="13">
        <f t="shared" si="25"/>
        <v>-99.113750977881651</v>
      </c>
      <c r="K50" s="13">
        <f t="shared" si="25"/>
        <v>-96.47375097788165</v>
      </c>
      <c r="L50" s="13">
        <f t="shared" si="25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26">P43+P45+P47-P48</f>
        <v>-99.213750977881645</v>
      </c>
      <c r="Q50" s="164">
        <f t="shared" si="26"/>
        <v>-96.313750977881654</v>
      </c>
      <c r="R50" s="164">
        <f t="shared" si="26"/>
        <v>-92.313750977881654</v>
      </c>
      <c r="S50" s="166">
        <f t="shared" si="26"/>
        <v>-103.63456261857129</v>
      </c>
      <c r="T50" s="166">
        <f t="shared" si="26"/>
        <v>-100.70456261857129</v>
      </c>
      <c r="U50" s="166">
        <f t="shared" si="26"/>
        <v>-97.424562618571287</v>
      </c>
      <c r="V50" s="166">
        <f t="shared" ref="V50:AA50" si="27">V43+V45+V47-V48</f>
        <v>-101.86375097788165</v>
      </c>
      <c r="W50" s="166">
        <f t="shared" si="27"/>
        <v>-98.883750977881647</v>
      </c>
      <c r="X50" s="166">
        <f t="shared" si="27"/>
        <v>-95.393750977881652</v>
      </c>
      <c r="Y50" s="166">
        <f t="shared" si="27"/>
        <v>-102.62456261857129</v>
      </c>
      <c r="Z50" s="166">
        <f t="shared" si="27"/>
        <v>-99.624562618571289</v>
      </c>
      <c r="AA50" s="166">
        <f t="shared" si="27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</row>
    <row r="51" spans="1:30" ht="28.3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</row>
    <row r="52" spans="1:30" ht="28.3">
      <c r="A52" s="22" t="s">
        <v>83</v>
      </c>
      <c r="B52" s="37">
        <f t="shared" ref="B52:G52" si="28">B25+B30+B33-B34-B50</f>
        <v>165.87121254719665</v>
      </c>
      <c r="C52" s="37">
        <f t="shared" si="28"/>
        <v>160.07121254719667</v>
      </c>
      <c r="D52" s="37">
        <f t="shared" si="28"/>
        <v>156.57121254719667</v>
      </c>
      <c r="E52" s="37">
        <f t="shared" si="28"/>
        <v>147.79121254719666</v>
      </c>
      <c r="F52" s="37">
        <f t="shared" si="28"/>
        <v>138.56121254719665</v>
      </c>
      <c r="G52" s="78">
        <f t="shared" si="28"/>
        <v>158.45121254719666</v>
      </c>
      <c r="H52" s="78">
        <f t="shared" ref="H52:K52" si="29">H25+H30+H33-H34-H50</f>
        <v>152.15121254719665</v>
      </c>
      <c r="I52" s="78">
        <f t="shared" si="29"/>
        <v>148.18121254719665</v>
      </c>
      <c r="J52" s="23">
        <f t="shared" si="29"/>
        <v>157.6619006897061</v>
      </c>
      <c r="K52" s="23">
        <f t="shared" si="29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0">Q25+Q30+Q33-Q34-Q50</f>
        <v>162.51040090650702</v>
      </c>
      <c r="R52" s="171">
        <f t="shared" si="30"/>
        <v>158.51040090650702</v>
      </c>
      <c r="S52" s="171">
        <f>S25+S30+S33-S34-S50</f>
        <v>156.78121254719667</v>
      </c>
      <c r="T52" s="171">
        <f t="shared" ref="T52:U52" si="31">T25+T30+T33-T34-T50</f>
        <v>150.85121254719667</v>
      </c>
      <c r="U52" s="171">
        <f t="shared" si="31"/>
        <v>147.57121254719667</v>
      </c>
      <c r="V52" s="171">
        <f>V25+V30+V33-V34-V50</f>
        <v>164.01040090650702</v>
      </c>
      <c r="W52" s="171">
        <f t="shared" ref="W52:X52" si="32">W25+W30+W33-W34-W50</f>
        <v>158.03040090650703</v>
      </c>
      <c r="X52" s="171">
        <f t="shared" si="32"/>
        <v>154.54040090650705</v>
      </c>
      <c r="Y52" s="171">
        <f>Y25+Y30+Y33-Y34-Y50</f>
        <v>155.77121254719665</v>
      </c>
      <c r="Z52" s="171">
        <f t="shared" ref="Z52:AA52" si="33">Z25+Z30+Z33-Z34-Z50</f>
        <v>149.77121254719665</v>
      </c>
      <c r="AA52" s="171">
        <f t="shared" si="33"/>
        <v>146.77121254719665</v>
      </c>
      <c r="AB52" s="179">
        <f>AB25+AB30+AB33-AB34-AB50</f>
        <v>148.97121254719667</v>
      </c>
      <c r="AC52" s="179">
        <f t="shared" ref="AC52:AD52" si="34">AC25+AC30+AC33-AC34-AC50</f>
        <v>142.77121254719665</v>
      </c>
      <c r="AD52" s="179">
        <f t="shared" si="34"/>
        <v>139.67121254719666</v>
      </c>
    </row>
    <row r="53" spans="1:30" ht="28.3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</row>
    <row r="54" spans="1:30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</row>
    <row r="55" spans="1:30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</row>
    <row r="56" spans="1:30" ht="28.3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</row>
    <row r="57" spans="1:30" ht="28.3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</row>
    <row r="58" spans="1:30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</row>
    <row r="59" spans="1:30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</row>
    <row r="60" spans="1:30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</row>
    <row r="61" spans="1:30" ht="28.3">
      <c r="A61" s="22" t="s">
        <v>108</v>
      </c>
      <c r="B61" s="37">
        <f t="shared" ref="B61:G61" si="35">B52-B56+B58-B59+B60</f>
        <v>132.06121254719665</v>
      </c>
      <c r="C61" s="37">
        <f t="shared" si="35"/>
        <v>126.26121254719666</v>
      </c>
      <c r="D61" s="37">
        <f t="shared" si="35"/>
        <v>122.76121254719666</v>
      </c>
      <c r="E61" s="37">
        <f t="shared" si="35"/>
        <v>113.98121254719666</v>
      </c>
      <c r="F61" s="37">
        <f t="shared" si="35"/>
        <v>104.75121254719664</v>
      </c>
      <c r="G61" s="78">
        <f t="shared" si="35"/>
        <v>124.64121254719666</v>
      </c>
      <c r="H61" s="78">
        <f t="shared" ref="H61:K61" si="36">H52-H56+H58-H59+H60</f>
        <v>118.34121254719665</v>
      </c>
      <c r="I61" s="78">
        <f t="shared" si="36"/>
        <v>114.37121254719665</v>
      </c>
      <c r="J61" s="23">
        <f t="shared" si="36"/>
        <v>123.8519006897061</v>
      </c>
      <c r="K61" s="23">
        <f t="shared" si="36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37">Q52-Q56+Q58-Q59+Q60</f>
        <v>128.680400906507</v>
      </c>
      <c r="R61" s="171">
        <f t="shared" si="37"/>
        <v>124.680400906507</v>
      </c>
      <c r="S61" s="171">
        <f>S52-S56+S58-S59+S60</f>
        <v>122.97121254719667</v>
      </c>
      <c r="T61" s="171">
        <f t="shared" ref="T61:U61" si="38">T52-T56+T58-T59+T60</f>
        <v>117.04121254719666</v>
      </c>
      <c r="U61" s="171">
        <f t="shared" si="38"/>
        <v>113.76121254719666</v>
      </c>
      <c r="V61" s="171">
        <f>V52-V56+V58-V59+V60</f>
        <v>130.20040090650701</v>
      </c>
      <c r="W61" s="171">
        <f t="shared" ref="W61:X61" si="39">W52-W56+W58-W59+W60</f>
        <v>124.22040090650702</v>
      </c>
      <c r="X61" s="171">
        <f t="shared" si="39"/>
        <v>120.73040090650704</v>
      </c>
      <c r="Y61" s="171">
        <f>Y52-Y56+Y58-Y59+Y60</f>
        <v>121.96121254719665</v>
      </c>
      <c r="Z61" s="171">
        <f t="shared" ref="Z61:AA61" si="40">Z52-Z56+Z58-Z59+Z60</f>
        <v>115.96121254719665</v>
      </c>
      <c r="AA61" s="171">
        <f t="shared" si="40"/>
        <v>112.96121254719665</v>
      </c>
      <c r="AB61" s="179">
        <f>AB52-AB56+AB58-AB59+AB60</f>
        <v>115.16121254719667</v>
      </c>
      <c r="AC61" s="179">
        <f t="shared" ref="AC61:AD61" si="41">AC52-AC56+AC58-AC59+AC60</f>
        <v>108.96121254719665</v>
      </c>
      <c r="AD61" s="179">
        <f t="shared" si="41"/>
        <v>105.86121254719666</v>
      </c>
    </row>
    <row r="62" spans="1:30" ht="28.3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</row>
    <row r="63" spans="1:30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</row>
    <row r="64" spans="1:30">
      <c r="A64" s="22" t="s">
        <v>97</v>
      </c>
      <c r="B64" s="37">
        <f t="shared" ref="B64:L64" si="42">B17+B22-B50+B21+B33</f>
        <v>157.10000000000002</v>
      </c>
      <c r="C64" s="37">
        <f t="shared" si="42"/>
        <v>154.30000000000004</v>
      </c>
      <c r="D64" s="37">
        <f t="shared" si="42"/>
        <v>150.80000000000004</v>
      </c>
      <c r="E64" s="37">
        <f t="shared" si="42"/>
        <v>141.97000000000006</v>
      </c>
      <c r="F64" s="37">
        <f t="shared" si="42"/>
        <v>135.74000000000004</v>
      </c>
      <c r="G64" s="78">
        <f t="shared" si="42"/>
        <v>149.68000000000004</v>
      </c>
      <c r="H64" s="78">
        <f t="shared" si="42"/>
        <v>146.38000000000002</v>
      </c>
      <c r="I64" s="78">
        <f t="shared" si="42"/>
        <v>142.41000000000003</v>
      </c>
      <c r="J64" s="23">
        <f t="shared" si="42"/>
        <v>151.54068814250945</v>
      </c>
      <c r="K64" s="23">
        <f t="shared" si="42"/>
        <v>148.90068814250947</v>
      </c>
      <c r="L64" s="23">
        <f t="shared" si="42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43">P17+P22-P50+P21+P33</f>
        <v>159.6391883593104</v>
      </c>
      <c r="Q64" s="171">
        <f t="shared" si="43"/>
        <v>156.73918835931042</v>
      </c>
      <c r="R64" s="171">
        <f t="shared" si="43"/>
        <v>152.73918835931042</v>
      </c>
      <c r="S64" s="171">
        <f t="shared" si="43"/>
        <v>148.01000000000005</v>
      </c>
      <c r="T64" s="171">
        <f t="shared" si="43"/>
        <v>145.08000000000004</v>
      </c>
      <c r="U64" s="171">
        <f t="shared" si="43"/>
        <v>141.80000000000004</v>
      </c>
      <c r="V64" s="171">
        <f t="shared" ref="V64:AA64" si="44">V17+V22-V50+V21+V33</f>
        <v>155.23918835931039</v>
      </c>
      <c r="W64" s="171">
        <f t="shared" si="44"/>
        <v>152.2591883593104</v>
      </c>
      <c r="X64" s="171">
        <f t="shared" si="44"/>
        <v>148.76918835931039</v>
      </c>
      <c r="Y64" s="171">
        <f t="shared" si="44"/>
        <v>147.00000000000003</v>
      </c>
      <c r="Z64" s="171">
        <f t="shared" si="44"/>
        <v>144.00000000000003</v>
      </c>
      <c r="AA64" s="171">
        <f t="shared" si="44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</row>
    <row r="65" spans="1:30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microsoft.com/office/2006/metadata/properties"/>
    <ds:schemaRef ds:uri="http://purl.org/dc/dcmitype/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0c1c198-6772-4070-9fed-c99b54821f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2020-10-21T19:06:52Z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