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"/>
    </mc:Choice>
  </mc:AlternateContent>
  <xr:revisionPtr revIDLastSave="0" documentId="13_ncr:1_{30D22D67-D890-4961-977C-FE110357DDB0}" xr6:coauthVersionLast="45" xr6:coauthVersionMax="45" xr10:uidLastSave="{00000000-0000-0000-0000-000000000000}"/>
  <bookViews>
    <workbookView xWindow="-110" yWindow="-110" windowWidth="19420" windowHeight="1042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3" i="51" l="1"/>
  <c r="Y50" i="51" s="1"/>
  <c r="Y64" i="51" s="1"/>
  <c r="X43" i="51"/>
  <c r="X50" i="51" s="1"/>
  <c r="X64" i="51" s="1"/>
  <c r="Y41" i="51"/>
  <c r="X41" i="51"/>
  <c r="Y39" i="51"/>
  <c r="X39" i="51"/>
  <c r="Y30" i="51"/>
  <c r="X30" i="51"/>
  <c r="Y25" i="51"/>
  <c r="Y52" i="51" s="1"/>
  <c r="Y61" i="51" s="1"/>
  <c r="X25" i="51"/>
  <c r="X52" i="51" s="1"/>
  <c r="X61" i="51" s="1"/>
  <c r="Y18" i="51"/>
  <c r="X18" i="51"/>
  <c r="Y17" i="51"/>
  <c r="X17" i="51"/>
  <c r="Y16" i="51"/>
  <c r="X16" i="51"/>
  <c r="U42" i="50"/>
  <c r="T42" i="50"/>
  <c r="U40" i="50"/>
  <c r="U44" i="50" s="1"/>
  <c r="U51" i="50" s="1"/>
  <c r="T40" i="50"/>
  <c r="T44" i="50" s="1"/>
  <c r="T51" i="50" s="1"/>
  <c r="U30" i="50"/>
  <c r="T30" i="50"/>
  <c r="U18" i="50"/>
  <c r="T18" i="50"/>
  <c r="U17" i="50"/>
  <c r="T17" i="50"/>
  <c r="O41" i="61"/>
  <c r="N41" i="61"/>
  <c r="O39" i="61"/>
  <c r="N39" i="61"/>
  <c r="N43" i="61" s="1"/>
  <c r="N50" i="61" s="1"/>
  <c r="N64" i="61" s="1"/>
  <c r="O30" i="61"/>
  <c r="N30" i="61"/>
  <c r="O18" i="61"/>
  <c r="N18" i="61"/>
  <c r="N25" i="61" s="1"/>
  <c r="O17" i="61"/>
  <c r="N17" i="61"/>
  <c r="Q41" i="47"/>
  <c r="P41" i="47"/>
  <c r="Q39" i="47"/>
  <c r="Q43" i="47" s="1"/>
  <c r="Q50" i="47" s="1"/>
  <c r="P39" i="47"/>
  <c r="P43" i="47" s="1"/>
  <c r="P50" i="47" s="1"/>
  <c r="Q30" i="47"/>
  <c r="P30" i="47"/>
  <c r="Q18" i="47"/>
  <c r="P18" i="47"/>
  <c r="Q17" i="47"/>
  <c r="P17" i="47"/>
  <c r="P25" i="47" s="1"/>
  <c r="X44" i="46"/>
  <c r="X51" i="46" s="1"/>
  <c r="X65" i="46" s="1"/>
  <c r="Y42" i="46"/>
  <c r="X42" i="46"/>
  <c r="Y40" i="46"/>
  <c r="Y44" i="46" s="1"/>
  <c r="Y51" i="46" s="1"/>
  <c r="X40" i="46"/>
  <c r="Y30" i="46"/>
  <c r="X30" i="46"/>
  <c r="X26" i="46"/>
  <c r="Y18" i="46"/>
  <c r="X18" i="46"/>
  <c r="Y17" i="46"/>
  <c r="X17" i="46"/>
  <c r="Y16" i="46"/>
  <c r="X16" i="46"/>
  <c r="Y41" i="32"/>
  <c r="X41" i="32"/>
  <c r="Y39" i="32"/>
  <c r="Y43" i="32" s="1"/>
  <c r="Y50" i="32" s="1"/>
  <c r="X39" i="32"/>
  <c r="X43" i="32" s="1"/>
  <c r="X50" i="32" s="1"/>
  <c r="Y30" i="32"/>
  <c r="X30" i="32"/>
  <c r="Y18" i="32"/>
  <c r="X18" i="32"/>
  <c r="Y17" i="32"/>
  <c r="X17" i="32"/>
  <c r="Y16" i="32"/>
  <c r="X16" i="32"/>
  <c r="T65" i="50" l="1"/>
  <c r="U65" i="50"/>
  <c r="T26" i="50"/>
  <c r="T53" i="50" s="1"/>
  <c r="T62" i="50" s="1"/>
  <c r="U26" i="50"/>
  <c r="U53" i="50" s="1"/>
  <c r="U62" i="50" s="1"/>
  <c r="O43" i="61"/>
  <c r="O50" i="61" s="1"/>
  <c r="O64" i="61" s="1"/>
  <c r="N52" i="61"/>
  <c r="N61" i="61" s="1"/>
  <c r="O25" i="61"/>
  <c r="P52" i="47"/>
  <c r="P61" i="47" s="1"/>
  <c r="Q64" i="47"/>
  <c r="P64" i="47"/>
  <c r="Q25" i="47"/>
  <c r="Q52" i="47" s="1"/>
  <c r="Q61" i="47" s="1"/>
  <c r="X53" i="46"/>
  <c r="X62" i="46" s="1"/>
  <c r="Y65" i="46"/>
  <c r="Y26" i="46"/>
  <c r="Y53" i="46" s="1"/>
  <c r="Y62" i="46" s="1"/>
  <c r="Y64" i="32"/>
  <c r="X64" i="32"/>
  <c r="X25" i="32"/>
  <c r="X52" i="32" s="1"/>
  <c r="X61" i="32" s="1"/>
  <c r="Y25" i="32"/>
  <c r="Y52" i="32" s="1"/>
  <c r="Y61" i="32" s="1"/>
  <c r="G41" i="63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O42" i="52"/>
  <c r="N42" i="52"/>
  <c r="O40" i="52"/>
  <c r="O44" i="52" s="1"/>
  <c r="O51" i="52" s="1"/>
  <c r="N40" i="52"/>
  <c r="N44" i="52" s="1"/>
  <c r="N51" i="52" s="1"/>
  <c r="O30" i="52"/>
  <c r="N30" i="52"/>
  <c r="O18" i="52"/>
  <c r="N18" i="52"/>
  <c r="O17" i="52"/>
  <c r="O65" i="52" s="1"/>
  <c r="N17" i="52"/>
  <c r="N65" i="52" s="1"/>
  <c r="O16" i="52"/>
  <c r="N16" i="52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L39" i="61"/>
  <c r="L43" i="61" s="1"/>
  <c r="L50" i="61" s="1"/>
  <c r="M30" i="61"/>
  <c r="L30" i="61"/>
  <c r="M18" i="61"/>
  <c r="L18" i="61"/>
  <c r="M17" i="6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W42" i="46"/>
  <c r="V42" i="46"/>
  <c r="U42" i="46"/>
  <c r="U17" i="46" s="1"/>
  <c r="T42" i="46"/>
  <c r="T17" i="46" s="1"/>
  <c r="W40" i="46"/>
  <c r="W44" i="46" s="1"/>
  <c r="W51" i="46" s="1"/>
  <c r="V40" i="46"/>
  <c r="V44" i="46" s="1"/>
  <c r="V51" i="46" s="1"/>
  <c r="U40" i="46"/>
  <c r="U44" i="46" s="1"/>
  <c r="U51" i="46" s="1"/>
  <c r="T40" i="46"/>
  <c r="T44" i="46" s="1"/>
  <c r="T51" i="46" s="1"/>
  <c r="W30" i="46"/>
  <c r="V30" i="46"/>
  <c r="U30" i="46"/>
  <c r="T30" i="46"/>
  <c r="W18" i="46"/>
  <c r="V18" i="46"/>
  <c r="U18" i="46"/>
  <c r="T18" i="46"/>
  <c r="W17" i="46"/>
  <c r="W65" i="46" s="1"/>
  <c r="V17" i="46"/>
  <c r="V65" i="46" s="1"/>
  <c r="W16" i="46"/>
  <c r="V16" i="46"/>
  <c r="U16" i="46"/>
  <c r="T16" i="46"/>
  <c r="M43" i="61" l="1"/>
  <c r="M50" i="61" s="1"/>
  <c r="M64" i="61" s="1"/>
  <c r="O52" i="61"/>
  <c r="O61" i="61" s="1"/>
  <c r="F25" i="63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N26" i="52"/>
  <c r="N53" i="52" s="1"/>
  <c r="N62" i="52" s="1"/>
  <c r="O26" i="52"/>
  <c r="O53" i="52" s="1"/>
  <c r="O62" i="52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V26" i="46"/>
  <c r="V53" i="46" s="1"/>
  <c r="V62" i="46" s="1"/>
  <c r="W26" i="46"/>
  <c r="W53" i="46" s="1"/>
  <c r="W62" i="46" s="1"/>
  <c r="M52" i="61" l="1"/>
  <c r="M61" i="61" s="1"/>
  <c r="M44" i="62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P26" i="46" s="1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65" i="46" l="1"/>
  <c r="L25" i="47"/>
  <c r="P43" i="32"/>
  <c r="P50" i="32" s="1"/>
  <c r="P64" i="32" s="1"/>
  <c r="R44" i="46"/>
  <c r="R51" i="46" s="1"/>
  <c r="M52" i="47"/>
  <c r="M61" i="47" s="1"/>
  <c r="Q43" i="32"/>
  <c r="Q50" i="32" s="1"/>
  <c r="Q64" i="32" s="1"/>
  <c r="S44" i="46"/>
  <c r="S51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65" i="46"/>
  <c r="R26" i="46"/>
  <c r="R53" i="46" s="1"/>
  <c r="R62" i="46" s="1"/>
  <c r="S65" i="46"/>
  <c r="S26" i="46"/>
  <c r="S53" i="46" s="1"/>
  <c r="S62" i="46" s="1"/>
  <c r="P53" i="46"/>
  <c r="P62" i="46" s="1"/>
  <c r="R64" i="32"/>
  <c r="Q25" i="32"/>
  <c r="R52" i="32"/>
  <c r="R61" i="32" s="1"/>
  <c r="S17" i="32"/>
  <c r="P25" i="32"/>
  <c r="P52" i="32" s="1"/>
  <c r="P61" i="32" s="1"/>
  <c r="Q52" i="32" l="1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J39" i="6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N42" i="46"/>
  <c r="O40" i="46"/>
  <c r="N40" i="46"/>
  <c r="N44" i="46" s="1"/>
  <c r="N51" i="46" s="1"/>
  <c r="O30" i="46"/>
  <c r="N30" i="46"/>
  <c r="O18" i="46"/>
  <c r="N18" i="46"/>
  <c r="O17" i="46"/>
  <c r="N17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J43" i="61" l="1"/>
  <c r="J50" i="61" s="1"/>
  <c r="J64" i="61" s="1"/>
  <c r="K43" i="61"/>
  <c r="K50" i="61" s="1"/>
  <c r="K64" i="61" s="1"/>
  <c r="K65" i="62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25" i="61"/>
  <c r="K25" i="6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K52" i="61" l="1"/>
  <c r="K61" i="61" s="1"/>
  <c r="J52" i="61"/>
  <c r="J61" i="61" s="1"/>
  <c r="J53" i="58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M44" i="46" s="1"/>
  <c r="M51" i="46" s="1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H43" i="61" l="1"/>
  <c r="H50" i="61" s="1"/>
  <c r="H64" i="61" s="1"/>
  <c r="H26" i="58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I64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I44" i="58"/>
  <c r="I51" i="58" s="1"/>
  <c r="I65" i="58" s="1"/>
  <c r="C44" i="59"/>
  <c r="C51" i="59" s="1"/>
  <c r="C65" i="59" s="1"/>
  <c r="L65" i="46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25" i="61"/>
  <c r="I25" i="6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I52" i="61" l="1"/>
  <c r="I61" i="61" s="1"/>
  <c r="H52" i="61"/>
  <c r="H61" i="61" s="1"/>
  <c r="I53" i="58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I42" i="46"/>
  <c r="H42" i="46"/>
  <c r="H17" i="46" s="1"/>
  <c r="K40" i="46"/>
  <c r="J40" i="46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18" i="61"/>
  <c r="D18" i="61"/>
  <c r="C18" i="61"/>
  <c r="B18" i="61"/>
  <c r="E17" i="61"/>
  <c r="D17" i="61"/>
  <c r="C17" i="61"/>
  <c r="B17" i="6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F44" i="46" s="1"/>
  <c r="F51" i="46" s="1"/>
  <c r="F65" i="46" s="1"/>
  <c r="E40" i="46"/>
  <c r="D40" i="46"/>
  <c r="C40" i="46"/>
  <c r="B40" i="46"/>
  <c r="G30" i="46"/>
  <c r="F30" i="46"/>
  <c r="E30" i="46"/>
  <c r="D30" i="46"/>
  <c r="C30" i="46"/>
  <c r="B30" i="46"/>
  <c r="G18" i="46"/>
  <c r="G26" i="46" s="1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E25" i="61" l="1"/>
  <c r="D25" i="61"/>
  <c r="D52" i="61" s="1"/>
  <c r="D61" i="61" s="1"/>
  <c r="C43" i="61"/>
  <c r="C50" i="61" s="1"/>
  <c r="C64" i="61" s="1"/>
  <c r="B25" i="61"/>
  <c r="B52" i="61" s="1"/>
  <c r="B61" i="61" s="1"/>
  <c r="B25" i="32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E26" i="58"/>
  <c r="E44" i="62"/>
  <c r="E51" i="62" s="1"/>
  <c r="E65" i="62" s="1"/>
  <c r="G25" i="61"/>
  <c r="G52" i="61" s="1"/>
  <c r="G61" i="61" s="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2" i="61" l="1"/>
  <c r="C61" i="61" s="1"/>
  <c r="C52" i="60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<sst xmlns="http://schemas.openxmlformats.org/spreadsheetml/2006/main" count="4438" uniqueCount="130">
  <si>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</si>
  <si>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</si>
  <si>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</si>
  <si>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</si>
  <si>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</si>
  <si>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</si>
  <si>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</si>
  <si>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</si>
  <si>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</si>
  <si>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</si>
  <si>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</si>
  <si>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</si>
  <si>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</si>
  <si>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</si>
  <si>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</si>
  <si>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</si>
  <si>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</si>
  <si>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</si>
  <si>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</si>
  <si>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</si>
  <si>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</si>
  <si>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</si>
  <si>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</si>
  <si>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</si>
  <si>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</si>
  <si>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</si>
  <si>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</si>
  <si>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</si>
  <si>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</si>
  <si>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</si>
  <si>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</si>
  <si>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</si>
  <si>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</si>
  <si>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</si>
  <si>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</si>
  <si>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</si>
  <si>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</si>
  <si>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</si>
  <si>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</si>
  <si>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</si>
  <si>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</si>
  <si>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</si>
  <si>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</si>
  <si>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</si>
  <si>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</si>
  <si>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</si>
  <si>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</si>
  <si>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</si>
  <si>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</si>
  <si>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</si>
  <si>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</si>
  <si>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</si>
  <si>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</si>
  <si>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</si>
  <si>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</si>
  <si>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</si>
  <si>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</si>
  <si>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</si>
  <si>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</si>
  <si>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</si>
  <si>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</si>
  <si>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</si>
  <si>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</si>
  <si>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</si>
  <si>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</si>
  <si>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</si>
  <si>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</si>
  <si>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</si>
  <si>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</si>
  <si>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</si>
  <si>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</si>
  <si>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</si>
  <si>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</si>
  <si>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</si>
  <si>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</si>
  <si>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</si>
  <si>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</si>
  <si>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</si>
  <si>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</si>
  <si>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</si>
  <si>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</si>
  <si>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</si>
  <si>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</si>
  <si>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</si>
  <si>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</si>
  <si>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</si>
  <si>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</si>
  <si>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</si>
  <si>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</si>
  <si>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</si>
  <si>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</si>
  <si>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</si>
  <si>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</si>
  <si>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</si>
  <si>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</si>
  <si>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</si>
  <si>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</si>
  <si>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</si>
  <si>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</si>
  <si>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</si>
  <si>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</si>
  <si>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</si>
  <si>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</si>
  <si>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</si>
  <si>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</si>
  <si>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</si>
  <si>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</si>
  <si>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</si>
  <si>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</si>
  <si>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</si>
  <si>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</si>
  <si>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</si>
  <si>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</si>
  <si>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</si>
  <si>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</si>
  <si>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</si>
  <si>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</si>
  <si>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</si>
  <si>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</si>
  <si>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</si>
  <si>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</si>
  <si>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</si>
  <si>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</si>
  <si>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</si>
  <si>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</si>
  <si>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</si>
  <si>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</si>
  <si>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</si>
  <si>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</si>
  <si>
    <t>InterDigital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</si>
</sst>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0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47" customWidth="1"/>
    <col min="2" max="4" width="15.6640625" style="2" customWidth="1"/>
    <col min="5" max="5" width="15.6640625" style="48" customWidth="1"/>
    <col min="6" max="6" width="39.6640625" style="41" customWidth="1"/>
    <col min="7" max="16384" width="9" style="1"/>
  </cols>
  <sheetData>
    <row r="1" spans="1:6">
      <c r="A1" s="49" t="s">
        <v>0</v>
      </c>
    </row>
    <row r="2" spans="1:6" ht="28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05" t="s">
        <v>4</v>
      </c>
      <c r="C5" s="105"/>
      <c r="D5" s="105"/>
      <c r="E5" s="105"/>
      <c r="F5" s="105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84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5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56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8" ht="84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56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2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2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5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5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28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28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28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28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28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28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28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28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28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6" t="s">
        <v>88</v>
      </c>
    </row>
    <row r="61" spans="1:6" ht="28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7"/>
    </row>
    <row r="62" spans="1:6" ht="28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7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7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7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8"/>
    </row>
    <row r="66" spans="1:6" ht="28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4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5"/>
  <sheetViews>
    <sheetView workbookViewId="0">
      <pane xSplit="1" ySplit="1" topLeftCell="F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640625" style="1" customWidth="1"/>
    <col min="2" max="2" width="17.6640625" style="2" customWidth="1"/>
    <col min="3" max="3" width="18.5" style="1" customWidth="1"/>
    <col min="4" max="4" width="17.6640625" style="2" customWidth="1"/>
    <col min="5" max="5" width="18.5" style="1" customWidth="1"/>
    <col min="6" max="6" width="17.6640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0" width="17.6640625" style="2" customWidth="1"/>
    <col min="11" max="11" width="18.5" style="1" customWidth="1"/>
    <col min="12" max="12" width="17.6640625" style="2" customWidth="1"/>
    <col min="13" max="13" width="18.5" style="1" customWidth="1"/>
    <col min="14" max="14" width="17.58203125" style="2" customWidth="1"/>
    <col min="15" max="15" width="18.5" style="1" customWidth="1"/>
    <col min="16" max="16384" width="9" style="1"/>
  </cols>
  <sheetData>
    <row r="1" spans="1:15" ht="14.25" customHeight="1">
      <c r="A1" s="3"/>
      <c r="B1" s="112" t="s">
        <v>101</v>
      </c>
      <c r="C1" s="112"/>
      <c r="D1" s="112" t="s">
        <v>102</v>
      </c>
      <c r="E1" s="112"/>
      <c r="F1" s="118" t="s">
        <v>119</v>
      </c>
      <c r="G1" s="118"/>
      <c r="H1" s="112" t="s">
        <v>125</v>
      </c>
      <c r="I1" s="112"/>
      <c r="J1" s="112" t="s">
        <v>126</v>
      </c>
      <c r="K1" s="112"/>
      <c r="L1" s="112" t="s">
        <v>127</v>
      </c>
      <c r="M1" s="112"/>
      <c r="N1" s="112" t="s">
        <v>128</v>
      </c>
      <c r="O1" s="112"/>
    </row>
    <row r="2" spans="1:15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</row>
    <row r="7" spans="1: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</row>
    <row r="8" spans="1: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</row>
    <row r="17" spans="1:15" ht="28">
      <c r="A17" s="7" t="s">
        <v>35</v>
      </c>
      <c r="B17" s="15">
        <f t="shared" ref="B17:G17" si="2">B15+10*LOG10(B42/1000000)</f>
        <v>10.60422483423212</v>
      </c>
      <c r="C17" s="15">
        <f t="shared" si="2"/>
        <v>10.60422483423212</v>
      </c>
      <c r="D17" s="15">
        <f t="shared" si="2"/>
        <v>9.3548374681491211</v>
      </c>
      <c r="E17" s="15">
        <f t="shared" si="2"/>
        <v>9.3548374681491211</v>
      </c>
      <c r="F17" s="73">
        <f t="shared" si="2"/>
        <v>9.3548374681491211</v>
      </c>
      <c r="G17" s="73">
        <f t="shared" si="2"/>
        <v>9.3548374681491211</v>
      </c>
      <c r="H17" s="15">
        <f t="shared" ref="H17:M17" si="3">H15+10*LOG10(H42/1000000)</f>
        <v>10.60422483423212</v>
      </c>
      <c r="I17" s="15">
        <f t="shared" si="3"/>
        <v>10.60422483423212</v>
      </c>
      <c r="J17" s="8">
        <f t="shared" si="3"/>
        <v>15.375437381428744</v>
      </c>
      <c r="K17" s="8">
        <f t="shared" si="3"/>
        <v>15.375437381428744</v>
      </c>
      <c r="L17" s="15">
        <f t="shared" si="3"/>
        <v>9.3548374681491211</v>
      </c>
      <c r="M17" s="15">
        <f t="shared" si="3"/>
        <v>9.3548374681491211</v>
      </c>
      <c r="N17" s="8">
        <f>N15+10*LOG10(N42/1000000)</f>
        <v>9.3548374681491211</v>
      </c>
      <c r="O17" s="8">
        <f>O15+10*LOG10(O42/1000000)</f>
        <v>9.3548374681491211</v>
      </c>
    </row>
    <row r="18" spans="1:15" ht="42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19.891799739838874</v>
      </c>
      <c r="E18" s="15">
        <f t="shared" si="4"/>
        <v>19.891799739838874</v>
      </c>
      <c r="F18" s="73">
        <f t="shared" si="4"/>
        <v>26.061799739838872</v>
      </c>
      <c r="G18" s="73">
        <f t="shared" si="4"/>
        <v>26.061799739838872</v>
      </c>
      <c r="H18" s="15">
        <f t="shared" ref="H18:M18" si="5">H19+10*LOG10(H12/H13)-H20</f>
        <v>17.581799739838871</v>
      </c>
      <c r="I18" s="15">
        <f t="shared" si="5"/>
        <v>17.581799739838871</v>
      </c>
      <c r="J18" s="8">
        <f t="shared" si="5"/>
        <v>26.061799739838872</v>
      </c>
      <c r="K18" s="8">
        <f t="shared" si="5"/>
        <v>26.061799739838872</v>
      </c>
      <c r="L18" s="15">
        <f t="shared" si="5"/>
        <v>26.061799739838872</v>
      </c>
      <c r="M18" s="15">
        <f t="shared" si="5"/>
        <v>26.061799739838872</v>
      </c>
      <c r="N18" s="8">
        <f>N19+10*LOG10(N12/N13)-N20</f>
        <v>17.061799739838872</v>
      </c>
      <c r="O18" s="8">
        <f>O19+10*LOG10(O12/O13)-O20</f>
        <v>17.061799739838872</v>
      </c>
    </row>
    <row r="19" spans="1: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</row>
    <row r="20" spans="1:15" ht="42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</row>
    <row r="22" spans="1: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</row>
    <row r="23" spans="1: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</row>
    <row r="24" spans="1:1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</row>
    <row r="25" spans="1: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</row>
    <row r="26" spans="1:15">
      <c r="A26" s="7" t="s">
        <v>51</v>
      </c>
      <c r="B26" s="15">
        <f t="shared" ref="B26:G26" si="6">B17+B18+B21-B23-B24</f>
        <v>33.666024574070988</v>
      </c>
      <c r="C26" s="15">
        <f t="shared" si="6"/>
        <v>33.666024574070988</v>
      </c>
      <c r="D26" s="15">
        <f t="shared" si="6"/>
        <v>26.246637207987995</v>
      </c>
      <c r="E26" s="15">
        <f t="shared" si="6"/>
        <v>26.246637207987995</v>
      </c>
      <c r="F26" s="73">
        <f t="shared" si="6"/>
        <v>32.416637207987989</v>
      </c>
      <c r="G26" s="73">
        <f t="shared" si="6"/>
        <v>32.416637207987989</v>
      </c>
      <c r="H26" s="15">
        <f t="shared" ref="H26:M26" si="7">H17+H18+H21-H23-H24</f>
        <v>25.186024574070991</v>
      </c>
      <c r="I26" s="15">
        <f t="shared" si="7"/>
        <v>25.186024574070991</v>
      </c>
      <c r="J26" s="8">
        <f t="shared" si="7"/>
        <v>38.437237121267614</v>
      </c>
      <c r="K26" s="8">
        <f t="shared" si="7"/>
        <v>38.437237121267614</v>
      </c>
      <c r="L26" s="15">
        <f t="shared" si="7"/>
        <v>32.416637207987989</v>
      </c>
      <c r="M26" s="15">
        <f t="shared" si="7"/>
        <v>32.416637207987989</v>
      </c>
      <c r="N26" s="8">
        <f>N17+N18+N21-N23-N24</f>
        <v>23.416637207987993</v>
      </c>
      <c r="O26" s="8">
        <f>O17+O18+O21-O23-O24</f>
        <v>23.416637207987993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</row>
    <row r="28" spans="1: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42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73">
        <f t="shared" si="8"/>
        <v>11.020599913279625</v>
      </c>
      <c r="G30" s="73">
        <f t="shared" si="8"/>
        <v>11.020599913279625</v>
      </c>
      <c r="H30" s="15">
        <f t="shared" ref="H30:M30" si="9">H31+10*LOG10(H28/H29)-H32</f>
        <v>11.020599913279625</v>
      </c>
      <c r="I30" s="15">
        <f t="shared" si="9"/>
        <v>11.020599913279625</v>
      </c>
      <c r="J30" s="8">
        <f t="shared" si="9"/>
        <v>11.020599913279625</v>
      </c>
      <c r="K30" s="8">
        <f t="shared" si="9"/>
        <v>11.020599913279625</v>
      </c>
      <c r="L30" s="15">
        <f t="shared" si="9"/>
        <v>11.020599913279625</v>
      </c>
      <c r="M30" s="15">
        <f t="shared" si="9"/>
        <v>11.020599913279625</v>
      </c>
      <c r="N30" s="8">
        <f>N31+10*LOG10(N28/N29)-N32</f>
        <v>5.0205999132796251</v>
      </c>
      <c r="O30" s="8">
        <f>O31+10*LOG10(O28/O29)-O32</f>
        <v>5.0205999132796251</v>
      </c>
    </row>
    <row r="31" spans="1: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</row>
    <row r="32" spans="1:1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</row>
    <row r="33" spans="1:1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</row>
    <row r="34" spans="1:1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</row>
    <row r="35" spans="1: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</row>
    <row r="38" spans="1: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8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</row>
    <row r="40" spans="1:15" ht="28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-164</v>
      </c>
      <c r="E40" s="15">
        <f t="shared" si="10"/>
        <v>-164</v>
      </c>
      <c r="F40" s="73">
        <f t="shared" si="10"/>
        <v>-167.00000000000003</v>
      </c>
      <c r="G40" s="73">
        <f t="shared" si="10"/>
        <v>-167.00000000000003</v>
      </c>
      <c r="H40" s="15">
        <f t="shared" ref="H40:M40" si="11">10*LOG10(10^((H35+H36)/10)+10^(H38/10))</f>
        <v>-163.58607314841774</v>
      </c>
      <c r="I40" s="15">
        <f t="shared" si="11"/>
        <v>-163.58607314841774</v>
      </c>
      <c r="J40" s="8">
        <f t="shared" si="11"/>
        <v>-166.20990250347435</v>
      </c>
      <c r="K40" s="8">
        <f t="shared" si="11"/>
        <v>-166.20990250347435</v>
      </c>
      <c r="L40" s="15">
        <f t="shared" si="11"/>
        <v>-167.00000000000003</v>
      </c>
      <c r="M40" s="15">
        <f t="shared" si="11"/>
        <v>-167.00000000000003</v>
      </c>
      <c r="N40" s="8">
        <f>10*LOG10(10^((N35+N36)/10)+10^(N38/10))</f>
        <v>-167.00000000000003</v>
      </c>
      <c r="O40" s="8">
        <f>10*LOG10(10^((O35+O36)/10)+10^(O38/10))</f>
        <v>-167.00000000000003</v>
      </c>
    </row>
    <row r="41" spans="1: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</row>
    <row r="42" spans="1: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2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3">3*12*120*1000</f>
        <v>4320000</v>
      </c>
      <c r="N42" s="88">
        <f>3*12*120*1000</f>
        <v>4320000</v>
      </c>
      <c r="O42" s="88">
        <f t="shared" ref="O42" si="14">3*12*120*1000</f>
        <v>4320000</v>
      </c>
    </row>
    <row r="43" spans="1: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</row>
    <row r="44" spans="1:15">
      <c r="A44" s="7" t="s">
        <v>72</v>
      </c>
      <c r="B44" s="15">
        <f t="shared" ref="B44:G44" si="15">B40+10*LOG10(B42)</f>
        <v>-99.395775165767915</v>
      </c>
      <c r="C44" s="15">
        <f t="shared" si="15"/>
        <v>-99.395775165767915</v>
      </c>
      <c r="D44" s="15">
        <f t="shared" si="15"/>
        <v>-97.645162531850886</v>
      </c>
      <c r="E44" s="15">
        <f t="shared" si="15"/>
        <v>-97.645162531850886</v>
      </c>
      <c r="F44" s="73">
        <f t="shared" si="15"/>
        <v>-100.64516253185091</v>
      </c>
      <c r="G44" s="73">
        <f t="shared" si="15"/>
        <v>-100.64516253185091</v>
      </c>
      <c r="H44" s="15">
        <f t="shared" ref="H44:M44" si="16">H40+10*LOG10(H42)</f>
        <v>-95.981848314185626</v>
      </c>
      <c r="I44" s="15">
        <f t="shared" si="16"/>
        <v>-95.981848314185626</v>
      </c>
      <c r="J44" s="8">
        <f t="shared" si="16"/>
        <v>-93.834465122045614</v>
      </c>
      <c r="K44" s="8">
        <f t="shared" si="16"/>
        <v>-93.834465122045614</v>
      </c>
      <c r="L44" s="15">
        <f t="shared" si="16"/>
        <v>-100.64516253185091</v>
      </c>
      <c r="M44" s="15">
        <f t="shared" si="16"/>
        <v>-100.64516253185091</v>
      </c>
      <c r="N44" s="8">
        <f>N40+10*LOG10(N42)</f>
        <v>-100.64516253185091</v>
      </c>
      <c r="O44" s="8">
        <f>O40+10*LOG10(O42)</f>
        <v>-100.64516253185091</v>
      </c>
    </row>
    <row r="45" spans="1: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</row>
    <row r="46" spans="1: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88">
        <v>-2.1</v>
      </c>
      <c r="O46" s="88">
        <v>3.7</v>
      </c>
    </row>
    <row r="47" spans="1: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</row>
    <row r="48" spans="1:15" ht="28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</row>
    <row r="51" spans="1:15" ht="28">
      <c r="A51" s="7" t="s">
        <v>82</v>
      </c>
      <c r="B51" s="15">
        <f t="shared" ref="B51:G51" si="17">B44+B46+B47-B49</f>
        <v>-101.39577516576792</v>
      </c>
      <c r="C51" s="15">
        <f t="shared" si="17"/>
        <v>-95.795775165767921</v>
      </c>
      <c r="D51" s="15">
        <f t="shared" si="17"/>
        <v>-102.70516253185089</v>
      </c>
      <c r="E51" s="15">
        <f t="shared" si="17"/>
        <v>-97.87516253185089</v>
      </c>
      <c r="F51" s="73">
        <f t="shared" si="17"/>
        <v>-102.18516253185092</v>
      </c>
      <c r="G51" s="73">
        <f t="shared" si="17"/>
        <v>-97.705162531850917</v>
      </c>
      <c r="H51" s="15">
        <f t="shared" ref="H51:M51" si="18">H44+H46+H47-H49</f>
        <v>-98.472848314185626</v>
      </c>
      <c r="I51" s="15">
        <f t="shared" si="18"/>
        <v>-92.129848314185622</v>
      </c>
      <c r="J51" s="8">
        <f t="shared" si="18"/>
        <v>-96.46446512204561</v>
      </c>
      <c r="K51" s="8">
        <f t="shared" si="18"/>
        <v>-94.034465122045617</v>
      </c>
      <c r="L51" s="15">
        <f t="shared" si="18"/>
        <v>-100.86516253185091</v>
      </c>
      <c r="M51" s="15">
        <f t="shared" si="18"/>
        <v>-94.675162531850916</v>
      </c>
      <c r="N51" s="8">
        <f>N44+N46+N47-N49</f>
        <v>-100.74516253185091</v>
      </c>
      <c r="O51" s="8">
        <f>O44+O46+O47-O49</f>
        <v>-94.945162531850912</v>
      </c>
    </row>
    <row r="52" spans="1:1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</row>
    <row r="53" spans="1:15" ht="28">
      <c r="A53" s="26" t="s">
        <v>85</v>
      </c>
      <c r="B53" s="39">
        <f t="shared" ref="B53:G53" si="19">B26+B30+B33-B34-B51</f>
        <v>145.08239965311853</v>
      </c>
      <c r="C53" s="39">
        <f t="shared" si="19"/>
        <v>139.48239965311853</v>
      </c>
      <c r="D53" s="39">
        <f t="shared" si="19"/>
        <v>138.97239965311852</v>
      </c>
      <c r="E53" s="39">
        <f t="shared" si="19"/>
        <v>134.1423996531185</v>
      </c>
      <c r="F53" s="76">
        <f t="shared" si="19"/>
        <v>144.62239965311852</v>
      </c>
      <c r="G53" s="76">
        <f t="shared" si="19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O53" si="20">J26+J30+J33-J34-J51</f>
        <v>144.92230215659285</v>
      </c>
      <c r="K53" s="39">
        <f t="shared" si="20"/>
        <v>142.49230215659287</v>
      </c>
      <c r="L53" s="39">
        <f t="shared" si="20"/>
        <v>143.30239965311853</v>
      </c>
      <c r="M53" s="39">
        <f t="shared" si="20"/>
        <v>137.11239965311853</v>
      </c>
      <c r="N53" s="39">
        <f t="shared" si="20"/>
        <v>128.18239965311852</v>
      </c>
      <c r="O53" s="39">
        <f t="shared" si="20"/>
        <v>122.38239965311853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</row>
    <row r="57" spans="1:1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</row>
    <row r="62" spans="1:15" ht="28">
      <c r="A62" s="26" t="s">
        <v>111</v>
      </c>
      <c r="B62" s="39">
        <f t="shared" ref="B62:G62" si="21">B53-B57+B58-B59+B60</f>
        <v>145.08239965311853</v>
      </c>
      <c r="C62" s="39">
        <f t="shared" si="21"/>
        <v>139.48239965311853</v>
      </c>
      <c r="D62" s="39">
        <f t="shared" si="21"/>
        <v>138.97239965311852</v>
      </c>
      <c r="E62" s="39">
        <f t="shared" si="21"/>
        <v>134.1423996531185</v>
      </c>
      <c r="F62" s="76">
        <f t="shared" si="21"/>
        <v>144.62239965311852</v>
      </c>
      <c r="G62" s="76">
        <f t="shared" si="21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O62" si="22">J53-J57+J58-J59+J60</f>
        <v>139.74230215659284</v>
      </c>
      <c r="K62" s="39">
        <f t="shared" si="22"/>
        <v>137.31230215659286</v>
      </c>
      <c r="L62" s="39">
        <f t="shared" si="22"/>
        <v>143.30239965311853</v>
      </c>
      <c r="M62" s="39">
        <f t="shared" si="22"/>
        <v>137.11239965311853</v>
      </c>
      <c r="N62" s="39">
        <f t="shared" si="22"/>
        <v>128.18239965311852</v>
      </c>
      <c r="O62" s="39">
        <f t="shared" si="22"/>
        <v>122.38239965311853</v>
      </c>
    </row>
    <row r="63" spans="1:15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</row>
    <row r="64" spans="1: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0" t="s">
        <v>16</v>
      </c>
      <c r="O64" s="100" t="s">
        <v>16</v>
      </c>
    </row>
    <row r="65" spans="1:15">
      <c r="A65" s="26" t="s">
        <v>98</v>
      </c>
      <c r="B65" s="39">
        <f t="shared" ref="B65:G65" si="23">B17-B23-B51+B21+B33</f>
        <v>112.00000000000003</v>
      </c>
      <c r="C65" s="39">
        <f t="shared" si="23"/>
        <v>106.40000000000003</v>
      </c>
      <c r="D65" s="39">
        <f t="shared" si="23"/>
        <v>112.06</v>
      </c>
      <c r="E65" s="39">
        <f t="shared" si="23"/>
        <v>107.23000000000002</v>
      </c>
      <c r="F65" s="76">
        <f t="shared" si="23"/>
        <v>111.54000000000005</v>
      </c>
      <c r="G65" s="76">
        <f t="shared" si="23"/>
        <v>107.06000000000003</v>
      </c>
      <c r="H65" s="27">
        <f t="shared" ref="H65:M65" si="24">H17-H23-H51+H21+H33</f>
        <v>109.07707314841775</v>
      </c>
      <c r="I65" s="27">
        <f t="shared" si="24"/>
        <v>102.73407314841774</v>
      </c>
      <c r="J65" s="39">
        <f t="shared" si="24"/>
        <v>111.83990250347435</v>
      </c>
      <c r="K65" s="39">
        <f t="shared" si="24"/>
        <v>109.40990250347436</v>
      </c>
      <c r="L65" s="39">
        <f t="shared" si="24"/>
        <v>110.22000000000003</v>
      </c>
      <c r="M65" s="39">
        <f t="shared" si="24"/>
        <v>104.03000000000003</v>
      </c>
      <c r="N65" s="39">
        <f>N17-N23-N51+N21+N33</f>
        <v>110.10000000000002</v>
      </c>
      <c r="O65" s="39">
        <f>O17-O23-O51+O21+O33</f>
        <v>104.30000000000004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5"/>
  <sheetViews>
    <sheetView workbookViewId="0">
      <pane xSplit="1" ySplit="1" topLeftCell="F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640625" style="1" customWidth="1"/>
    <col min="2" max="2" width="17.6640625" style="2" customWidth="1"/>
    <col min="3" max="3" width="18.1640625" style="1" customWidth="1"/>
    <col min="4" max="4" width="17.6640625" style="2" customWidth="1"/>
    <col min="5" max="5" width="18.1640625" style="1" customWidth="1"/>
    <col min="6" max="6" width="17.6640625" style="80" customWidth="1"/>
    <col min="7" max="7" width="18.1640625" style="1" customWidth="1"/>
    <col min="8" max="8" width="14.75" style="1" bestFit="1" customWidth="1"/>
    <col min="9" max="9" width="17.5" style="1" bestFit="1" customWidth="1"/>
    <col min="10" max="10" width="17.6640625" style="2" customWidth="1"/>
    <col min="11" max="11" width="18.1640625" style="1" customWidth="1"/>
    <col min="12" max="12" width="17.6640625" style="2" customWidth="1"/>
    <col min="13" max="13" width="18.1640625" style="1" customWidth="1"/>
    <col min="14" max="14" width="17.58203125" style="2" customWidth="1"/>
    <col min="15" max="15" width="18.08203125" style="1" customWidth="1"/>
    <col min="16" max="16384" width="9" style="1"/>
  </cols>
  <sheetData>
    <row r="1" spans="1:15" ht="14.25" customHeight="1">
      <c r="A1" s="3"/>
      <c r="B1" s="112" t="s">
        <v>101</v>
      </c>
      <c r="C1" s="112"/>
      <c r="D1" s="112" t="s">
        <v>102</v>
      </c>
      <c r="E1" s="112"/>
      <c r="F1" s="118" t="s">
        <v>119</v>
      </c>
      <c r="G1" s="118"/>
      <c r="H1" s="112" t="s">
        <v>125</v>
      </c>
      <c r="I1" s="112"/>
      <c r="J1" s="112" t="s">
        <v>126</v>
      </c>
      <c r="K1" s="112"/>
      <c r="L1" s="112" t="s">
        <v>127</v>
      </c>
      <c r="M1" s="112"/>
      <c r="N1" s="112" t="s">
        <v>128</v>
      </c>
      <c r="O1" s="112"/>
    </row>
    <row r="2" spans="1:15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</row>
    <row r="7" spans="1: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</row>
    <row r="8" spans="1: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</row>
    <row r="15" spans="1: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</row>
    <row r="16" spans="1: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</row>
    <row r="17" spans="1:15" ht="28">
      <c r="A17" s="7" t="s">
        <v>35</v>
      </c>
      <c r="B17" s="15">
        <f t="shared" ref="B17:G17" si="2">B15+10*LOG10(B42/1000000)</f>
        <v>17.13634997198556</v>
      </c>
      <c r="C17" s="15">
        <f t="shared" si="2"/>
        <v>17.13634997198556</v>
      </c>
      <c r="D17" s="15">
        <f t="shared" si="2"/>
        <v>20.265642161622448</v>
      </c>
      <c r="E17" s="15">
        <f t="shared" si="2"/>
        <v>20.265642161622448</v>
      </c>
      <c r="F17" s="73">
        <f t="shared" si="2"/>
        <v>17.13634997198556</v>
      </c>
      <c r="G17" s="73">
        <f t="shared" si="2"/>
        <v>17.13634997198556</v>
      </c>
      <c r="H17" s="15">
        <f t="shared" ref="H17:M17" si="3">H15+10*LOG10(H42/1000000)</f>
        <v>21.115750058705935</v>
      </c>
      <c r="I17" s="15">
        <f t="shared" si="3"/>
        <v>21.115750058705935</v>
      </c>
      <c r="J17" s="8">
        <f t="shared" si="3"/>
        <v>20.265642161622448</v>
      </c>
      <c r="K17" s="8">
        <f t="shared" si="3"/>
        <v>20.265642161622448</v>
      </c>
      <c r="L17" s="15">
        <f t="shared" si="3"/>
        <v>17.13634997198556</v>
      </c>
      <c r="M17" s="15">
        <f t="shared" si="3"/>
        <v>17.13634997198556</v>
      </c>
      <c r="N17" s="8">
        <f>N15+10*LOG10(N42/1000000)</f>
        <v>17.13634997198556</v>
      </c>
      <c r="O17" s="8">
        <f>O15+10*LOG10(O42/1000000)</f>
        <v>17.13634997198556</v>
      </c>
    </row>
    <row r="18" spans="1:15" ht="42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19.891799739838874</v>
      </c>
      <c r="E18" s="15">
        <f t="shared" si="4"/>
        <v>19.891799739838874</v>
      </c>
      <c r="F18" s="73">
        <f t="shared" si="4"/>
        <v>26.061799739838872</v>
      </c>
      <c r="G18" s="73">
        <f t="shared" si="4"/>
        <v>26.061799739838872</v>
      </c>
      <c r="H18" s="15">
        <f t="shared" ref="H18:M18" si="5">H19+10*LOG10(H12/H13)-H20</f>
        <v>17.581799739838871</v>
      </c>
      <c r="I18" s="15">
        <f t="shared" si="5"/>
        <v>17.581799739838871</v>
      </c>
      <c r="J18" s="8">
        <f t="shared" si="5"/>
        <v>26.061799739838872</v>
      </c>
      <c r="K18" s="8">
        <f t="shared" si="5"/>
        <v>26.061799739838872</v>
      </c>
      <c r="L18" s="15">
        <f t="shared" si="5"/>
        <v>26.061799739838872</v>
      </c>
      <c r="M18" s="15">
        <f t="shared" si="5"/>
        <v>26.061799739838872</v>
      </c>
      <c r="N18" s="8">
        <f>N19+10*LOG10(N12/N13)-N20</f>
        <v>17.061799739838872</v>
      </c>
      <c r="O18" s="8">
        <f>O19+10*LOG10(O12/O13)-O20</f>
        <v>17.061799739838872</v>
      </c>
    </row>
    <row r="19" spans="1: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</row>
    <row r="20" spans="1:15" ht="42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</row>
    <row r="21" spans="1:1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</row>
    <row r="22" spans="1: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</row>
    <row r="23" spans="1: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</row>
    <row r="24" spans="1:1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</row>
    <row r="25" spans="1: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</row>
    <row r="26" spans="1:15">
      <c r="A26" s="7" t="s">
        <v>51</v>
      </c>
      <c r="B26" s="15">
        <f t="shared" ref="B26:G26" si="6">B17+B18+B21-B23-B24</f>
        <v>40.198149711824428</v>
      </c>
      <c r="C26" s="15">
        <f t="shared" si="6"/>
        <v>40.198149711824428</v>
      </c>
      <c r="D26" s="15">
        <f t="shared" si="6"/>
        <v>37.157441901461326</v>
      </c>
      <c r="E26" s="15">
        <f t="shared" si="6"/>
        <v>37.157441901461326</v>
      </c>
      <c r="F26" s="73">
        <f t="shared" si="6"/>
        <v>40.198149711824428</v>
      </c>
      <c r="G26" s="73">
        <f t="shared" si="6"/>
        <v>40.198149711824428</v>
      </c>
      <c r="H26" s="15">
        <f t="shared" ref="H26:M26" si="7">H17+H18+H21-H23-H24</f>
        <v>35.697549798544806</v>
      </c>
      <c r="I26" s="15">
        <f t="shared" si="7"/>
        <v>35.697549798544806</v>
      </c>
      <c r="J26" s="8">
        <f t="shared" si="7"/>
        <v>43.32744190146132</v>
      </c>
      <c r="K26" s="8">
        <f t="shared" si="7"/>
        <v>43.32744190146132</v>
      </c>
      <c r="L26" s="15">
        <f t="shared" si="7"/>
        <v>40.198149711824428</v>
      </c>
      <c r="M26" s="15">
        <f t="shared" si="7"/>
        <v>40.198149711824428</v>
      </c>
      <c r="N26" s="8">
        <f>N17+N18+N21-N23-N24</f>
        <v>31.198149711824428</v>
      </c>
      <c r="O26" s="8">
        <f>O17+O18+O21-O23-O24</f>
        <v>31.198149711824428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</row>
    <row r="28" spans="1: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</row>
    <row r="29" spans="1: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</row>
    <row r="30" spans="1:15" ht="42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73">
        <f t="shared" si="8"/>
        <v>11.020599913279625</v>
      </c>
      <c r="G30" s="73">
        <f t="shared" si="8"/>
        <v>11.020599913279625</v>
      </c>
      <c r="H30" s="15">
        <f t="shared" ref="H30:M30" si="9">H31+10*LOG10(H28/H29)-H32</f>
        <v>11.020599913279625</v>
      </c>
      <c r="I30" s="15">
        <f t="shared" si="9"/>
        <v>11.020599913279625</v>
      </c>
      <c r="J30" s="8">
        <f t="shared" si="9"/>
        <v>11.020599913279625</v>
      </c>
      <c r="K30" s="8">
        <f t="shared" si="9"/>
        <v>11.020599913279625</v>
      </c>
      <c r="L30" s="15">
        <f t="shared" si="9"/>
        <v>11.020599913279625</v>
      </c>
      <c r="M30" s="15">
        <f t="shared" si="9"/>
        <v>11.020599913279625</v>
      </c>
      <c r="N30" s="8">
        <f>N31+10*LOG10(N28/N29)-N32</f>
        <v>5.0205999132796251</v>
      </c>
      <c r="O30" s="8">
        <f>O31+10*LOG10(O28/O29)-O32</f>
        <v>5.0205999132796251</v>
      </c>
    </row>
    <row r="31" spans="1: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</row>
    <row r="32" spans="1:1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</row>
    <row r="33" spans="1:1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</row>
    <row r="34" spans="1:1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</row>
    <row r="35" spans="1: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</row>
    <row r="38" spans="1: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8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</row>
    <row r="40" spans="1:15" ht="28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-164</v>
      </c>
      <c r="E40" s="15">
        <f t="shared" si="10"/>
        <v>-164</v>
      </c>
      <c r="F40" s="73">
        <f t="shared" si="10"/>
        <v>-167.00000000000003</v>
      </c>
      <c r="G40" s="73">
        <f t="shared" si="10"/>
        <v>-167.00000000000003</v>
      </c>
      <c r="H40" s="15">
        <f t="shared" ref="H40:M40" si="11">10*LOG10(10^((H35+H36)/10)+10^(H38/10))</f>
        <v>-163.58607314841774</v>
      </c>
      <c r="I40" s="15">
        <f t="shared" si="11"/>
        <v>-163.58607314841774</v>
      </c>
      <c r="J40" s="8">
        <f t="shared" si="11"/>
        <v>-166.20990250347435</v>
      </c>
      <c r="K40" s="8">
        <f t="shared" si="11"/>
        <v>-166.20990250347435</v>
      </c>
      <c r="L40" s="15">
        <f t="shared" si="11"/>
        <v>-167.00000000000003</v>
      </c>
      <c r="M40" s="15">
        <f t="shared" si="11"/>
        <v>-167.00000000000003</v>
      </c>
      <c r="N40" s="8">
        <f>10*LOG10(10^((N35+N36)/10)+10^(N38/10))</f>
        <v>-167.00000000000003</v>
      </c>
      <c r="O40" s="8">
        <f>10*LOG10(10^((O35+O36)/10)+10^(O38/10))</f>
        <v>-167.00000000000003</v>
      </c>
    </row>
    <row r="41" spans="1: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</row>
    <row r="42" spans="1: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</row>
    <row r="43" spans="1: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</row>
    <row r="44" spans="1:15">
      <c r="A44" s="7" t="s">
        <v>72</v>
      </c>
      <c r="B44" s="15">
        <f t="shared" ref="B44:G44" si="12">B40+10*LOG10(B42)</f>
        <v>-92.863650028014476</v>
      </c>
      <c r="C44" s="15">
        <f t="shared" si="12"/>
        <v>-92.863650028014476</v>
      </c>
      <c r="D44" s="15">
        <f t="shared" si="12"/>
        <v>-86.734357838377562</v>
      </c>
      <c r="E44" s="15">
        <f t="shared" si="12"/>
        <v>-86.734357838377562</v>
      </c>
      <c r="F44" s="73">
        <f t="shared" si="12"/>
        <v>-92.863650028014476</v>
      </c>
      <c r="G44" s="73">
        <f t="shared" si="12"/>
        <v>-92.863650028014476</v>
      </c>
      <c r="H44" s="15">
        <f t="shared" ref="H44:M44" si="13">H40+10*LOG10(H42)</f>
        <v>-85.470323089711812</v>
      </c>
      <c r="I44" s="15">
        <f t="shared" si="13"/>
        <v>-85.470323089711812</v>
      </c>
      <c r="J44" s="8">
        <f t="shared" si="13"/>
        <v>-88.944260341851916</v>
      </c>
      <c r="K44" s="8">
        <f t="shared" si="13"/>
        <v>-88.944260341851916</v>
      </c>
      <c r="L44" s="15">
        <f t="shared" si="13"/>
        <v>-92.863650028014476</v>
      </c>
      <c r="M44" s="15">
        <f t="shared" si="13"/>
        <v>-92.863650028014476</v>
      </c>
      <c r="N44" s="8">
        <f>N40+10*LOG10(N42)</f>
        <v>-92.863650028014476</v>
      </c>
      <c r="O44" s="8">
        <f>O40+10*LOG10(O42)</f>
        <v>-92.863650028014476</v>
      </c>
    </row>
    <row r="45" spans="1: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</row>
    <row r="46" spans="1: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</row>
    <row r="47" spans="1: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</row>
    <row r="48" spans="1:15" ht="28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</row>
    <row r="51" spans="1:15" ht="28">
      <c r="A51" s="7" t="s">
        <v>82</v>
      </c>
      <c r="B51" s="15">
        <f t="shared" ref="B51:G51" si="14">B44+B46+B47-B49</f>
        <v>-92.263650028014482</v>
      </c>
      <c r="C51" s="15">
        <f t="shared" si="14"/>
        <v>-86.96365002801447</v>
      </c>
      <c r="D51" s="15">
        <f t="shared" si="14"/>
        <v>-92.084357838377557</v>
      </c>
      <c r="E51" s="15">
        <f t="shared" si="14"/>
        <v>-87.494357838377567</v>
      </c>
      <c r="F51" s="73">
        <f t="shared" si="14"/>
        <v>-93.953650028014479</v>
      </c>
      <c r="G51" s="73">
        <f t="shared" si="14"/>
        <v>-89.183650028014469</v>
      </c>
      <c r="H51" s="15">
        <f t="shared" ref="H51:M51" si="15">H44+H46+H47-H49</f>
        <v>-89.420323089711815</v>
      </c>
      <c r="I51" s="15">
        <f t="shared" si="15"/>
        <v>-84.820323089711806</v>
      </c>
      <c r="J51" s="8">
        <f t="shared" si="15"/>
        <v>-90.744260341851913</v>
      </c>
      <c r="K51" s="8">
        <f t="shared" si="15"/>
        <v>-88.144260341851918</v>
      </c>
      <c r="L51" s="15">
        <f t="shared" si="15"/>
        <v>-91.73365002801448</v>
      </c>
      <c r="M51" s="15">
        <f t="shared" si="15"/>
        <v>-86.743650028014471</v>
      </c>
      <c r="N51" s="8">
        <f>N44+N46+N47-N49</f>
        <v>-92.763650028014482</v>
      </c>
      <c r="O51" s="8">
        <f>O44+O46+O47-O49</f>
        <v>-88.263650028014482</v>
      </c>
    </row>
    <row r="52" spans="1:1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</row>
    <row r="53" spans="1:15" ht="28">
      <c r="A53" s="26" t="s">
        <v>85</v>
      </c>
      <c r="B53" s="39">
        <f t="shared" ref="B53:G53" si="16">B26+B30+B33-B34-B51</f>
        <v>142.48239965311853</v>
      </c>
      <c r="C53" s="39">
        <f t="shared" si="16"/>
        <v>137.18239965311852</v>
      </c>
      <c r="D53" s="39">
        <f t="shared" si="16"/>
        <v>139.26239965311851</v>
      </c>
      <c r="E53" s="39">
        <f t="shared" si="16"/>
        <v>134.67239965311853</v>
      </c>
      <c r="F53" s="76">
        <f t="shared" si="16"/>
        <v>144.17239965311853</v>
      </c>
      <c r="G53" s="76">
        <f t="shared" si="16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O53" si="17">J26+J30+J33-J34-J51</f>
        <v>144.09230215659287</v>
      </c>
      <c r="K53" s="39">
        <f t="shared" si="17"/>
        <v>141.49230215659287</v>
      </c>
      <c r="L53" s="39">
        <f t="shared" si="17"/>
        <v>141.95239965311853</v>
      </c>
      <c r="M53" s="39">
        <f t="shared" si="17"/>
        <v>136.96239965311852</v>
      </c>
      <c r="N53" s="39">
        <f t="shared" si="17"/>
        <v>127.98239965311853</v>
      </c>
      <c r="O53" s="39">
        <f t="shared" si="17"/>
        <v>123.48239965311853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</row>
    <row r="57" spans="1:1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</row>
    <row r="62" spans="1:15" ht="28">
      <c r="A62" s="26" t="s">
        <v>111</v>
      </c>
      <c r="B62" s="39">
        <f t="shared" ref="B62:G62" si="18">B53-B57+B58-B59+B60</f>
        <v>142.48239965311853</v>
      </c>
      <c r="C62" s="39">
        <f t="shared" si="18"/>
        <v>137.18239965311852</v>
      </c>
      <c r="D62" s="39">
        <f t="shared" si="18"/>
        <v>139.26239965311851</v>
      </c>
      <c r="E62" s="39">
        <f t="shared" si="18"/>
        <v>134.67239965311853</v>
      </c>
      <c r="F62" s="76">
        <f t="shared" si="18"/>
        <v>144.17239965311853</v>
      </c>
      <c r="G62" s="76">
        <f t="shared" si="18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O62" si="19">J53-J57+J58-J59+J60</f>
        <v>144.09230215659287</v>
      </c>
      <c r="K62" s="39">
        <f t="shared" si="19"/>
        <v>141.49230215659287</v>
      </c>
      <c r="L62" s="39">
        <f t="shared" si="19"/>
        <v>141.95239965311853</v>
      </c>
      <c r="M62" s="39">
        <f t="shared" si="19"/>
        <v>136.96239965311852</v>
      </c>
      <c r="N62" s="39">
        <f t="shared" si="19"/>
        <v>127.98239965311853</v>
      </c>
      <c r="O62" s="39">
        <f t="shared" si="19"/>
        <v>123.48239965311853</v>
      </c>
    </row>
    <row r="63" spans="1:15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</row>
    <row r="64" spans="1: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</row>
    <row r="65" spans="1:15">
      <c r="A65" s="26" t="s">
        <v>98</v>
      </c>
      <c r="B65" s="39">
        <f t="shared" ref="B65:G65" si="20">B17-B23-B51+B21+B33</f>
        <v>109.40000000000003</v>
      </c>
      <c r="C65" s="39">
        <f t="shared" si="20"/>
        <v>104.10000000000002</v>
      </c>
      <c r="D65" s="39">
        <f t="shared" si="20"/>
        <v>112.35000000000001</v>
      </c>
      <c r="E65" s="39">
        <f t="shared" si="20"/>
        <v>107.76000000000002</v>
      </c>
      <c r="F65" s="76">
        <f t="shared" si="20"/>
        <v>111.09000000000003</v>
      </c>
      <c r="G65" s="76">
        <f t="shared" si="20"/>
        <v>106.32000000000002</v>
      </c>
      <c r="H65" s="27">
        <f t="shared" ref="H65:M65" si="21">H17-H23-H51+H21+H33</f>
        <v>110.53607314841776</v>
      </c>
      <c r="I65" s="27">
        <f t="shared" si="21"/>
        <v>105.93607314841773</v>
      </c>
      <c r="J65" s="39">
        <f t="shared" si="21"/>
        <v>111.00990250347436</v>
      </c>
      <c r="K65" s="39">
        <f t="shared" si="21"/>
        <v>108.40990250347437</v>
      </c>
      <c r="L65" s="39">
        <f t="shared" si="21"/>
        <v>108.87000000000003</v>
      </c>
      <c r="M65" s="39">
        <f t="shared" si="21"/>
        <v>103.88000000000002</v>
      </c>
      <c r="N65" s="27">
        <f>N17-N23-N51+N21+N33</f>
        <v>109.90000000000003</v>
      </c>
      <c r="O65" s="27">
        <f>O17-O23-O51+O21+O33</f>
        <v>105.40000000000003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5"/>
  <sheetViews>
    <sheetView zoomScaleNormal="100" workbookViewId="0">
      <pane xSplit="1" ySplit="1" topLeftCell="D2" activePane="bottomRight" state="frozen"/>
      <selection pane="topRight"/>
      <selection pane="bottomLeft"/>
      <selection pane="bottomRight" activeCell="N1" sqref="N1:O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7.75" style="1" customWidth="1"/>
    <col min="4" max="4" width="15.6640625" style="2" customWidth="1"/>
    <col min="5" max="5" width="17.75" style="1" customWidth="1"/>
    <col min="6" max="6" width="15.6640625" style="80" customWidth="1"/>
    <col min="7" max="7" width="17.75" style="1" customWidth="1"/>
    <col min="8" max="8" width="14.6640625" style="1" bestFit="1" customWidth="1"/>
    <col min="9" max="9" width="17.33203125" style="1" bestFit="1" customWidth="1"/>
    <col min="10" max="10" width="15.6640625" style="2" customWidth="1"/>
    <col min="11" max="11" width="17.75" style="1" customWidth="1"/>
    <col min="12" max="12" width="15.6640625" style="2" customWidth="1"/>
    <col min="13" max="13" width="17.75" style="1" customWidth="1"/>
    <col min="14" max="14" width="15.58203125" style="2" customWidth="1"/>
    <col min="15" max="15" width="17.75" style="1" customWidth="1"/>
    <col min="16" max="16384" width="9" style="1"/>
  </cols>
  <sheetData>
    <row r="1" spans="1:15" ht="14.25" customHeight="1">
      <c r="A1" s="3"/>
      <c r="B1" s="109" t="s">
        <v>101</v>
      </c>
      <c r="C1" s="110"/>
      <c r="D1" s="109" t="s">
        <v>102</v>
      </c>
      <c r="E1" s="110"/>
      <c r="F1" s="113" t="s">
        <v>119</v>
      </c>
      <c r="G1" s="114"/>
      <c r="H1" s="109" t="s">
        <v>125</v>
      </c>
      <c r="I1" s="110"/>
      <c r="J1" s="109" t="s">
        <v>126</v>
      </c>
      <c r="K1" s="110"/>
      <c r="L1" s="109" t="s">
        <v>127</v>
      </c>
      <c r="M1" s="110"/>
      <c r="N1" s="109" t="s">
        <v>128</v>
      </c>
      <c r="O1" s="110"/>
    </row>
    <row r="2" spans="1:15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</row>
    <row r="6" spans="1: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</row>
    <row r="7" spans="1: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</row>
    <row r="8" spans="1: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</row>
    <row r="14" spans="1: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</row>
    <row r="15" spans="1: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</row>
    <row r="16" spans="1: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</row>
    <row r="17" spans="1:15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</row>
    <row r="18" spans="1:15" ht="42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3">
        <f t="shared" ref="H18:M18" si="3">H19+10*LOG10(H12/H14)-H20</f>
        <v>6.0205999132796251</v>
      </c>
      <c r="I18" s="13">
        <f t="shared" si="3"/>
        <v>6.0205999132796251</v>
      </c>
      <c r="J18" s="8">
        <f t="shared" si="3"/>
        <v>11.020599913279625</v>
      </c>
      <c r="K18" s="8">
        <f t="shared" si="3"/>
        <v>11.020599913279625</v>
      </c>
      <c r="L18" s="15">
        <f t="shared" si="3"/>
        <v>11.020599913279625</v>
      </c>
      <c r="M18" s="15">
        <f t="shared" si="3"/>
        <v>11.020599913279625</v>
      </c>
      <c r="N18" s="8">
        <f>N19+10*LOG10(N12/N14)-N20</f>
        <v>6.0205999132796251</v>
      </c>
      <c r="O18" s="8">
        <f>O19+10*LOG10(O12/O14)-O20</f>
        <v>6.0205999132796251</v>
      </c>
    </row>
    <row r="19" spans="1: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</row>
    <row r="20" spans="1:1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</row>
    <row r="21" spans="1:1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</row>
    <row r="26" spans="1:15">
      <c r="A26" s="7" t="s">
        <v>51</v>
      </c>
      <c r="B26" s="8">
        <f t="shared" ref="B26:G26" si="4">B17+B18+B21-B23-B24</f>
        <v>22.020599913279625</v>
      </c>
      <c r="C26" s="8">
        <f t="shared" si="4"/>
        <v>22.020599913279625</v>
      </c>
      <c r="D26" s="8">
        <f t="shared" si="4"/>
        <v>33.020599913279625</v>
      </c>
      <c r="E26" s="8">
        <f t="shared" si="4"/>
        <v>33.020599913279625</v>
      </c>
      <c r="F26" s="69">
        <f t="shared" si="4"/>
        <v>33.020599913279625</v>
      </c>
      <c r="G26" s="69">
        <f t="shared" si="4"/>
        <v>33.020599913279625</v>
      </c>
      <c r="H26" s="18">
        <f t="shared" ref="H26:M26" si="5">H17+H18+H21-H23-H24</f>
        <v>17.020599913279625</v>
      </c>
      <c r="I26" s="18">
        <f t="shared" si="5"/>
        <v>17.020599913279625</v>
      </c>
      <c r="J26" s="8">
        <f t="shared" si="5"/>
        <v>33.020599913279625</v>
      </c>
      <c r="K26" s="8">
        <f t="shared" si="5"/>
        <v>33.020599913279625</v>
      </c>
      <c r="L26" s="8">
        <f t="shared" si="5"/>
        <v>33.020599913279625</v>
      </c>
      <c r="M26" s="8">
        <f t="shared" si="5"/>
        <v>33.020599913279625</v>
      </c>
      <c r="N26" s="8">
        <f>N17+N18+N21-N23-N24</f>
        <v>28.020599913279625</v>
      </c>
      <c r="O26" s="8">
        <f>O17+O18+O21-O23-O24</f>
        <v>28.020599913279625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</row>
    <row r="28" spans="1: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</row>
    <row r="29" spans="1: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</row>
    <row r="30" spans="1:15" ht="42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19.891799739838874</v>
      </c>
      <c r="E30" s="15">
        <f t="shared" si="6"/>
        <v>19.891799739838874</v>
      </c>
      <c r="F30" s="73">
        <f t="shared" si="6"/>
        <v>26.061799739838872</v>
      </c>
      <c r="G30" s="73">
        <f t="shared" si="6"/>
        <v>26.061799739838872</v>
      </c>
      <c r="H30" s="13">
        <f t="shared" ref="H30:M30" si="7">H31+10*LOG10(H28/H13)-H32</f>
        <v>26.061799739838872</v>
      </c>
      <c r="I30" s="13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15">
        <f t="shared" si="7"/>
        <v>26.061799739838872</v>
      </c>
      <c r="M30" s="15">
        <f t="shared" si="7"/>
        <v>26.061799739838872</v>
      </c>
      <c r="N30" s="8">
        <f>N31+10*LOG10(N28/N13)-N32</f>
        <v>17.061799739838872</v>
      </c>
      <c r="O30" s="8">
        <f>O31+10*LOG10(O28/O13)-O32</f>
        <v>17.061799739838872</v>
      </c>
    </row>
    <row r="31" spans="1: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2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</row>
    <row r="33" spans="1:15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</row>
    <row r="34" spans="1:15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</row>
    <row r="37" spans="1: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</row>
    <row r="38" spans="1: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</row>
    <row r="39" spans="1:15" ht="28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</row>
    <row r="40" spans="1:15" ht="28">
      <c r="A40" s="7" t="s">
        <v>109</v>
      </c>
      <c r="B40" s="15">
        <f t="shared" ref="B40:G40" si="8">10*LOG10(10^((B35+B36)/10)+10^(B38/10))</f>
        <v>-169.00000000000003</v>
      </c>
      <c r="C40" s="15">
        <f t="shared" si="8"/>
        <v>-169.00000000000003</v>
      </c>
      <c r="D40" s="15">
        <f t="shared" si="8"/>
        <v>-167.00000000000003</v>
      </c>
      <c r="E40" s="15">
        <f t="shared" si="8"/>
        <v>-167.00000000000003</v>
      </c>
      <c r="F40" s="73">
        <f t="shared" si="8"/>
        <v>-169.00000000000003</v>
      </c>
      <c r="G40" s="73">
        <f t="shared" si="8"/>
        <v>-169.00000000000003</v>
      </c>
      <c r="H40" s="13">
        <f t="shared" ref="H40:M40" si="9">10*LOG10(10^((H35+H36)/10)+10^(H38/10))</f>
        <v>-166.34726225295711</v>
      </c>
      <c r="I40" s="13">
        <f t="shared" si="9"/>
        <v>-166.34726225295711</v>
      </c>
      <c r="J40" s="8">
        <f t="shared" si="9"/>
        <v>-168.00651048203736</v>
      </c>
      <c r="K40" s="8">
        <f t="shared" si="9"/>
        <v>-168.00651048203736</v>
      </c>
      <c r="L40" s="15">
        <f t="shared" si="9"/>
        <v>-169.00000000000003</v>
      </c>
      <c r="M40" s="15">
        <f t="shared" si="9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</row>
    <row r="41" spans="1: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</row>
    <row r="42" spans="1:15">
      <c r="A42" s="24" t="s">
        <v>70</v>
      </c>
      <c r="B42" s="15">
        <f t="shared" ref="B42:G42" si="10">2*12*120*1000</f>
        <v>2880000</v>
      </c>
      <c r="C42" s="15">
        <f t="shared" si="10"/>
        <v>2880000</v>
      </c>
      <c r="D42" s="15">
        <f t="shared" si="10"/>
        <v>2880000</v>
      </c>
      <c r="E42" s="15">
        <f t="shared" si="10"/>
        <v>2880000</v>
      </c>
      <c r="F42" s="73">
        <f t="shared" si="10"/>
        <v>2880000</v>
      </c>
      <c r="G42" s="73">
        <f t="shared" si="10"/>
        <v>2880000</v>
      </c>
      <c r="H42" s="96">
        <f t="shared" ref="H42:M42" si="11">2*12*120*1000</f>
        <v>2880000</v>
      </c>
      <c r="I42" s="96">
        <f t="shared" si="11"/>
        <v>2880000</v>
      </c>
      <c r="J42" s="8">
        <f t="shared" si="11"/>
        <v>2880000</v>
      </c>
      <c r="K42" s="8">
        <f t="shared" si="11"/>
        <v>2880000</v>
      </c>
      <c r="L42" s="15">
        <f t="shared" si="11"/>
        <v>2880000</v>
      </c>
      <c r="M42" s="15">
        <f t="shared" si="11"/>
        <v>2880000</v>
      </c>
      <c r="N42" s="88">
        <f>2*12*120*1000</f>
        <v>2880000</v>
      </c>
      <c r="O42" s="88">
        <f>2*12*120*1000</f>
        <v>2880000</v>
      </c>
    </row>
    <row r="43" spans="1: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</row>
    <row r="44" spans="1:15">
      <c r="A44" s="7" t="s">
        <v>72</v>
      </c>
      <c r="B44" s="15">
        <f t="shared" ref="B44:G44" si="12">B40+10*LOG10(B42)</f>
        <v>-104.40607512240773</v>
      </c>
      <c r="C44" s="15">
        <f t="shared" si="12"/>
        <v>-104.40607512240773</v>
      </c>
      <c r="D44" s="15">
        <f t="shared" si="12"/>
        <v>-102.40607512240773</v>
      </c>
      <c r="E44" s="15">
        <f t="shared" si="12"/>
        <v>-102.40607512240773</v>
      </c>
      <c r="F44" s="73">
        <f t="shared" si="12"/>
        <v>-104.40607512240773</v>
      </c>
      <c r="G44" s="73">
        <f t="shared" si="12"/>
        <v>-104.40607512240773</v>
      </c>
      <c r="H44" s="13">
        <f t="shared" ref="H44:M44" si="13">H40+10*LOG10(H42)</f>
        <v>-101.75333737536481</v>
      </c>
      <c r="I44" s="13">
        <f t="shared" si="13"/>
        <v>-101.75333737536481</v>
      </c>
      <c r="J44" s="8">
        <f t="shared" si="13"/>
        <v>-103.41258560444506</v>
      </c>
      <c r="K44" s="8">
        <f t="shared" si="13"/>
        <v>-103.41258560444506</v>
      </c>
      <c r="L44" s="15">
        <f t="shared" si="13"/>
        <v>-104.40607512240773</v>
      </c>
      <c r="M44" s="15">
        <f t="shared" si="13"/>
        <v>-104.40607512240773</v>
      </c>
      <c r="N44" s="8">
        <f>N40+10*LOG10(N42)</f>
        <v>-104.40607512240773</v>
      </c>
      <c r="O44" s="8">
        <f>O40+10*LOG10(O42)</f>
        <v>-104.40607512240773</v>
      </c>
    </row>
    <row r="45" spans="1: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</row>
    <row r="46" spans="1: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</row>
    <row r="51" spans="1:15" ht="28">
      <c r="A51" s="7" t="s">
        <v>82</v>
      </c>
      <c r="B51" s="15">
        <f t="shared" ref="B51:G51" si="14">B44+B46+B47-B49</f>
        <v>-104.30607512240773</v>
      </c>
      <c r="C51" s="15">
        <f t="shared" si="14"/>
        <v>-104.30607512240773</v>
      </c>
      <c r="D51" s="15">
        <f t="shared" si="14"/>
        <v>-102.41607512240773</v>
      </c>
      <c r="E51" s="15">
        <f t="shared" si="14"/>
        <v>-102.41607512240773</v>
      </c>
      <c r="F51" s="73">
        <f t="shared" si="14"/>
        <v>-104.15607512240773</v>
      </c>
      <c r="G51" s="73">
        <f t="shared" si="14"/>
        <v>-104.15607512240773</v>
      </c>
      <c r="H51" s="13">
        <f t="shared" ref="H51:M51" si="15">H44+H46+H47-H49</f>
        <v>-102.73333737536481</v>
      </c>
      <c r="I51" s="13">
        <f t="shared" si="15"/>
        <v>-102.73333737536481</v>
      </c>
      <c r="J51" s="8">
        <f t="shared" si="15"/>
        <v>-97.03258560444506</v>
      </c>
      <c r="K51" s="8">
        <f t="shared" si="15"/>
        <v>-97.03258560444506</v>
      </c>
      <c r="L51" s="15">
        <f t="shared" si="15"/>
        <v>-104.18607512240773</v>
      </c>
      <c r="M51" s="15">
        <f t="shared" si="15"/>
        <v>-104.18607512240773</v>
      </c>
      <c r="N51" s="8">
        <f>N44+N46+N47-N49</f>
        <v>-104.20607512240773</v>
      </c>
      <c r="O51" s="8">
        <f>O44+O46+O47-O49</f>
        <v>-104.20607512240773</v>
      </c>
    </row>
    <row r="52" spans="1:1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</row>
    <row r="53" spans="1:15" ht="28">
      <c r="A53" s="26" t="s">
        <v>85</v>
      </c>
      <c r="B53" s="39">
        <f t="shared" ref="B53:G53" si="16">B26+B30+B33-B34-B51</f>
        <v>149.38847477552622</v>
      </c>
      <c r="C53" s="39">
        <f t="shared" si="16"/>
        <v>149.38847477552622</v>
      </c>
      <c r="D53" s="39">
        <f t="shared" si="16"/>
        <v>152.32847477552622</v>
      </c>
      <c r="E53" s="39">
        <f t="shared" si="16"/>
        <v>152.32847477552622</v>
      </c>
      <c r="F53" s="76">
        <f t="shared" si="16"/>
        <v>160.23847477552624</v>
      </c>
      <c r="G53" s="76">
        <f t="shared" si="16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O53" si="17">J26+J30+J33-J34-J51</f>
        <v>153.11498525756355</v>
      </c>
      <c r="K53" s="39">
        <f t="shared" si="17"/>
        <v>153.11498525756355</v>
      </c>
      <c r="L53" s="39">
        <f t="shared" si="17"/>
        <v>160.26847477552622</v>
      </c>
      <c r="M53" s="39">
        <f t="shared" si="17"/>
        <v>160.26847477552622</v>
      </c>
      <c r="N53" s="39">
        <f t="shared" si="17"/>
        <v>146.28847477552623</v>
      </c>
      <c r="O53" s="39">
        <f t="shared" si="17"/>
        <v>146.28847477552623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</row>
    <row r="56" spans="1:1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</row>
    <row r="57" spans="1:1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</row>
    <row r="62" spans="1:15" ht="28">
      <c r="A62" s="26" t="s">
        <v>111</v>
      </c>
      <c r="B62" s="39">
        <f t="shared" ref="B62:G62" si="18">B53-B57+B58-B59+B60</f>
        <v>149.38847477552622</v>
      </c>
      <c r="C62" s="39">
        <f t="shared" si="18"/>
        <v>149.38847477552622</v>
      </c>
      <c r="D62" s="39">
        <f t="shared" si="18"/>
        <v>152.32847477552622</v>
      </c>
      <c r="E62" s="39">
        <f t="shared" si="18"/>
        <v>152.32847477552622</v>
      </c>
      <c r="F62" s="76">
        <f t="shared" si="18"/>
        <v>160.23847477552624</v>
      </c>
      <c r="G62" s="76">
        <f t="shared" si="18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O62" si="19">J53-J57+J58-J59+J60</f>
        <v>147.93498525756354</v>
      </c>
      <c r="K62" s="39">
        <f t="shared" si="19"/>
        <v>147.93498525756354</v>
      </c>
      <c r="L62" s="39">
        <f t="shared" si="19"/>
        <v>160.26847477552622</v>
      </c>
      <c r="M62" s="39">
        <f t="shared" si="19"/>
        <v>160.26847477552622</v>
      </c>
      <c r="N62" s="39">
        <f t="shared" si="19"/>
        <v>146.28847477552623</v>
      </c>
      <c r="O62" s="39">
        <f t="shared" si="19"/>
        <v>146.28847477552623</v>
      </c>
    </row>
    <row r="63" spans="1:15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</row>
    <row r="64" spans="1: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</row>
    <row r="65" spans="1:15">
      <c r="A65" s="26" t="s">
        <v>98</v>
      </c>
      <c r="B65" s="39">
        <f t="shared" ref="B65:G65" si="20">B17-B23-B51+B21+B33</f>
        <v>116.30607512240773</v>
      </c>
      <c r="C65" s="39">
        <f t="shared" si="20"/>
        <v>116.30607512240773</v>
      </c>
      <c r="D65" s="39">
        <f t="shared" si="20"/>
        <v>125.41607512240773</v>
      </c>
      <c r="E65" s="39">
        <f t="shared" si="20"/>
        <v>125.41607512240773</v>
      </c>
      <c r="F65" s="76">
        <f t="shared" si="20"/>
        <v>127.15607512240773</v>
      </c>
      <c r="G65" s="76">
        <f t="shared" si="20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O65" si="21">J17-J23-J51+J21+J33</f>
        <v>120.03258560444506</v>
      </c>
      <c r="K65" s="39">
        <f t="shared" si="21"/>
        <v>120.03258560444506</v>
      </c>
      <c r="L65" s="39">
        <f t="shared" si="21"/>
        <v>127.18607512240773</v>
      </c>
      <c r="M65" s="39">
        <f t="shared" si="21"/>
        <v>127.18607512240773</v>
      </c>
      <c r="N65" s="27">
        <f t="shared" si="21"/>
        <v>127.20607512240773</v>
      </c>
      <c r="O65" s="27">
        <f t="shared" si="21"/>
        <v>127.20607512240773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D1" sqref="D1:G1"/>
    </sheetView>
  </sheetViews>
  <sheetFormatPr defaultColWidth="9" defaultRowHeight="15"/>
  <cols>
    <col min="1" max="1" width="62.1640625" style="1" customWidth="1"/>
    <col min="2" max="3" width="14.75" style="1" bestFit="1" customWidth="1"/>
    <col min="4" max="4" width="15.58203125" style="2" customWidth="1"/>
    <col min="5" max="7" width="15.58203125" style="1" customWidth="1"/>
    <col min="8" max="16384" width="9" style="1"/>
  </cols>
  <sheetData>
    <row r="1" spans="1:7" ht="14.25" customHeight="1">
      <c r="A1" s="3"/>
      <c r="B1" s="109" t="s">
        <v>125</v>
      </c>
      <c r="C1" s="110"/>
      <c r="D1" s="109" t="s">
        <v>128</v>
      </c>
      <c r="E1" s="110"/>
      <c r="F1" s="110"/>
      <c r="G1" s="111"/>
    </row>
    <row r="2" spans="1:7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</row>
    <row r="3" spans="1: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</row>
    <row r="6" spans="1:7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</row>
    <row r="7" spans="1:7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</row>
    <row r="8" spans="1:7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</row>
    <row r="9" spans="1:7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</row>
    <row r="10" spans="1:7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</row>
    <row r="11" spans="1:7">
      <c r="A11" s="4" t="s">
        <v>25</v>
      </c>
      <c r="B11" s="14"/>
      <c r="C11" s="14"/>
      <c r="D11" s="14"/>
      <c r="E11" s="14"/>
      <c r="F11" s="14"/>
      <c r="G11" s="14"/>
    </row>
    <row r="12" spans="1:7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</row>
    <row r="13" spans="1:7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</row>
    <row r="14" spans="1:7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</row>
    <row r="15" spans="1:7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</row>
    <row r="16" spans="1:7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8">
        <f t="shared" si="0"/>
        <v>23</v>
      </c>
      <c r="E16" s="8">
        <f t="shared" si="0"/>
        <v>23</v>
      </c>
      <c r="F16" s="8">
        <f t="shared" si="0"/>
        <v>23</v>
      </c>
      <c r="G16" s="8">
        <f t="shared" si="0"/>
        <v>23</v>
      </c>
    </row>
    <row r="17" spans="1:7" ht="28">
      <c r="A17" s="7" t="s">
        <v>35</v>
      </c>
      <c r="B17" s="15">
        <f t="shared" ref="B17:G17" si="1">B15+10*LOG10(B42/1000000)</f>
        <v>20.60422483423212</v>
      </c>
      <c r="C17" s="15">
        <f t="shared" si="1"/>
        <v>20.60422483423212</v>
      </c>
      <c r="D17" s="8">
        <f t="shared" si="1"/>
        <v>20.60422483423212</v>
      </c>
      <c r="E17" s="8">
        <f t="shared" si="1"/>
        <v>20.60422483423212</v>
      </c>
      <c r="F17" s="8">
        <f t="shared" si="1"/>
        <v>20.60422483423212</v>
      </c>
      <c r="G17" s="8">
        <f t="shared" si="1"/>
        <v>20.60422483423212</v>
      </c>
    </row>
    <row r="18" spans="1:7" ht="42">
      <c r="A18" s="16" t="s">
        <v>37</v>
      </c>
      <c r="B18" s="15">
        <f t="shared" ref="B18:G18" si="2">B19+10*LOG10(B12/B13)-B20</f>
        <v>17.581799739838871</v>
      </c>
      <c r="C18" s="15">
        <f t="shared" si="2"/>
        <v>17.581799739838871</v>
      </c>
      <c r="D18" s="8">
        <f t="shared" si="2"/>
        <v>17.061799739838872</v>
      </c>
      <c r="E18" s="8">
        <f t="shared" si="2"/>
        <v>17.061799739838872</v>
      </c>
      <c r="F18" s="8">
        <f t="shared" si="2"/>
        <v>17.061799739838872</v>
      </c>
      <c r="G18" s="8">
        <f t="shared" si="2"/>
        <v>17.061799739838872</v>
      </c>
    </row>
    <row r="19" spans="1:7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</row>
    <row r="20" spans="1:7" ht="42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</row>
    <row r="21" spans="1:7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</row>
    <row r="22" spans="1:7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</row>
    <row r="23" spans="1:7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28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</row>
    <row r="25" spans="1:7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</row>
    <row r="26" spans="1:7">
      <c r="A26" s="7" t="s">
        <v>51</v>
      </c>
      <c r="B26" s="15">
        <f t="shared" ref="B26:G26" si="3">B17+B18+B21-B23-B24</f>
        <v>35.186024574070991</v>
      </c>
      <c r="C26" s="15">
        <f t="shared" si="3"/>
        <v>35.186024574070991</v>
      </c>
      <c r="D26" s="8">
        <f t="shared" si="3"/>
        <v>34.666024574070988</v>
      </c>
      <c r="E26" s="8">
        <f t="shared" si="3"/>
        <v>34.666024574070988</v>
      </c>
      <c r="F26" s="8">
        <f t="shared" si="3"/>
        <v>34.666024574070988</v>
      </c>
      <c r="G26" s="8">
        <f t="shared" si="3"/>
        <v>34.666024574070988</v>
      </c>
    </row>
    <row r="27" spans="1:7">
      <c r="A27" s="4" t="s">
        <v>52</v>
      </c>
      <c r="B27" s="14"/>
      <c r="C27" s="14"/>
      <c r="D27" s="14"/>
      <c r="E27" s="14"/>
      <c r="F27" s="14"/>
      <c r="G27" s="14"/>
    </row>
    <row r="28" spans="1:7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</row>
    <row r="29" spans="1:7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</row>
    <row r="30" spans="1:7" ht="42">
      <c r="A30" s="7" t="s">
        <v>55</v>
      </c>
      <c r="B30" s="15">
        <f t="shared" ref="B30:G30" si="4">B31+10*LOG10(B28/B29)-B32</f>
        <v>11.020599913279625</v>
      </c>
      <c r="C30" s="15">
        <f t="shared" si="4"/>
        <v>11.020599913279625</v>
      </c>
      <c r="D30" s="8">
        <f t="shared" si="4"/>
        <v>5.0205999132796251</v>
      </c>
      <c r="E30" s="8">
        <f t="shared" si="4"/>
        <v>5.0205999132796251</v>
      </c>
      <c r="F30" s="8">
        <f t="shared" si="4"/>
        <v>5.0205999132796251</v>
      </c>
      <c r="G30" s="8">
        <f t="shared" si="4"/>
        <v>5.0205999132796251</v>
      </c>
    </row>
    <row r="31" spans="1:7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</row>
    <row r="32" spans="1:7" ht="42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</row>
    <row r="33" spans="1:7" ht="28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28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</row>
    <row r="35" spans="1:7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</row>
    <row r="38" spans="1:7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</row>
    <row r="39" spans="1:7" ht="28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</row>
    <row r="40" spans="1:7" ht="28">
      <c r="A40" s="7" t="s">
        <v>109</v>
      </c>
      <c r="B40" s="15">
        <f t="shared" ref="B40:G40" si="5">10*LOG10(10^((B35+B36)/10)+10^(B38/10))</f>
        <v>-163.58607314841774</v>
      </c>
      <c r="C40" s="15">
        <f t="shared" si="5"/>
        <v>-163.58607314841774</v>
      </c>
      <c r="D40" s="8">
        <f t="shared" si="5"/>
        <v>-167.00000000000003</v>
      </c>
      <c r="E40" s="8">
        <f t="shared" si="5"/>
        <v>-167.00000000000003</v>
      </c>
      <c r="F40" s="8">
        <f t="shared" si="5"/>
        <v>-167.00000000000003</v>
      </c>
      <c r="G40" s="8">
        <f t="shared" si="5"/>
        <v>-167.00000000000003</v>
      </c>
    </row>
    <row r="41" spans="1:7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</row>
    <row r="42" spans="1:7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6">20*12*240*1000</f>
        <v>57600000</v>
      </c>
      <c r="F42" s="88">
        <f t="shared" si="6"/>
        <v>57600000</v>
      </c>
      <c r="G42" s="88">
        <f t="shared" si="6"/>
        <v>57600000</v>
      </c>
    </row>
    <row r="43" spans="1:7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</row>
    <row r="44" spans="1:7">
      <c r="A44" s="7" t="s">
        <v>72</v>
      </c>
      <c r="B44" s="15">
        <f t="shared" ref="B44:G44" si="7">B40+10*LOG10(B42)</f>
        <v>-85.981848314185626</v>
      </c>
      <c r="C44" s="15">
        <f t="shared" si="7"/>
        <v>-85.981848314185626</v>
      </c>
      <c r="D44" s="8">
        <f t="shared" si="7"/>
        <v>-89.395775165767915</v>
      </c>
      <c r="E44" s="8">
        <f t="shared" si="7"/>
        <v>-89.395775165767915</v>
      </c>
      <c r="F44" s="8">
        <f t="shared" si="7"/>
        <v>-89.395775165767915</v>
      </c>
      <c r="G44" s="8">
        <f t="shared" si="7"/>
        <v>-89.395775165767915</v>
      </c>
    </row>
    <row r="45" spans="1:7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</row>
    <row r="46" spans="1:7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</row>
    <row r="47" spans="1:7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28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</row>
    <row r="50" spans="1:7" ht="28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</row>
    <row r="51" spans="1:7" ht="28">
      <c r="A51" s="7" t="s">
        <v>82</v>
      </c>
      <c r="B51" s="15">
        <f t="shared" ref="B51:G51" si="8">B44+B46+B47-B49</f>
        <v>-94.581848314185621</v>
      </c>
      <c r="C51" s="15">
        <f t="shared" si="8"/>
        <v>-89.091848314185626</v>
      </c>
      <c r="D51" s="8">
        <f t="shared" si="8"/>
        <v>-95.595775165767918</v>
      </c>
      <c r="E51" s="8">
        <f t="shared" si="8"/>
        <v>-91.895775165767915</v>
      </c>
      <c r="F51" s="8">
        <f t="shared" si="8"/>
        <v>-95.595775165767918</v>
      </c>
      <c r="G51" s="8">
        <f t="shared" si="8"/>
        <v>-91.895775165767915</v>
      </c>
    </row>
    <row r="52" spans="1:7" ht="28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</row>
    <row r="53" spans="1:7" ht="28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G53" si="9">D26+D30+D33-D34-D51</f>
        <v>134.28239965311855</v>
      </c>
      <c r="E53" s="39">
        <f>E26+E30+E33-E34-E51</f>
        <v>130.58239965311853</v>
      </c>
      <c r="F53" s="39">
        <f t="shared" si="9"/>
        <v>134.28239965311855</v>
      </c>
      <c r="G53" s="39">
        <f t="shared" si="9"/>
        <v>130.58239965311853</v>
      </c>
    </row>
    <row r="54" spans="1:7">
      <c r="A54" s="4" t="s">
        <v>86</v>
      </c>
      <c r="B54" s="14"/>
      <c r="C54" s="14"/>
      <c r="D54" s="14"/>
      <c r="E54" s="14"/>
      <c r="F54" s="14"/>
      <c r="G54" s="14"/>
    </row>
    <row r="55" spans="1:7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</row>
    <row r="56" spans="1:7" ht="28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</row>
    <row r="57" spans="1:7" ht="28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</row>
    <row r="58" spans="1:7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</row>
    <row r="59" spans="1:7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</row>
    <row r="60" spans="1:7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ht="28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</row>
    <row r="62" spans="1:7" ht="28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G62" si="10">D53-D57+D58-D59+D60</f>
        <v>134.28239965311855</v>
      </c>
      <c r="E62" s="39">
        <f>E53-E57+E58-E59+E60</f>
        <v>130.58239965311853</v>
      </c>
      <c r="F62" s="39">
        <f t="shared" si="10"/>
        <v>134.28239965311855</v>
      </c>
      <c r="G62" s="39">
        <f t="shared" si="10"/>
        <v>130.58239965311853</v>
      </c>
    </row>
    <row r="63" spans="1:7">
      <c r="A63" s="41"/>
      <c r="B63" s="2"/>
      <c r="C63" s="2"/>
      <c r="D63" s="101"/>
      <c r="E63" s="101"/>
      <c r="F63" s="101"/>
      <c r="G63" s="101"/>
    </row>
    <row r="64" spans="1:7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</row>
    <row r="65" spans="1:7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G65" si="11">D17-D23-D51+D21+D33</f>
        <v>116.20000000000005</v>
      </c>
      <c r="E65" s="39">
        <f>E17-E23-E51+E21+E33</f>
        <v>112.50000000000003</v>
      </c>
      <c r="F65" s="39">
        <f t="shared" si="11"/>
        <v>116.20000000000005</v>
      </c>
      <c r="G65" s="39">
        <f t="shared" si="11"/>
        <v>112.50000000000003</v>
      </c>
    </row>
  </sheetData>
  <mergeCells count="2">
    <mergeCell ref="B1:C1"/>
    <mergeCell ref="D1:G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2" customWidth="1"/>
    <col min="7" max="7" width="17.08203125" style="1" customWidth="1"/>
    <col min="8" max="16384" width="9" style="1"/>
  </cols>
  <sheetData>
    <row r="1" spans="1:7" ht="14.25" customHeight="1">
      <c r="A1" s="3"/>
      <c r="B1" s="112" t="s">
        <v>125</v>
      </c>
      <c r="C1" s="112"/>
      <c r="D1" s="112" t="s">
        <v>126</v>
      </c>
      <c r="E1" s="112"/>
      <c r="F1" s="112" t="s">
        <v>128</v>
      </c>
      <c r="G1" s="112"/>
    </row>
    <row r="2" spans="1: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</row>
    <row r="3" spans="1: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</row>
    <row r="4" spans="1: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</row>
    <row r="6" spans="1:7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</row>
    <row r="7" spans="1:7" ht="28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</row>
    <row r="8" spans="1:7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</row>
    <row r="9" spans="1:7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</row>
    <row r="10" spans="1:7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</row>
    <row r="11" spans="1:7">
      <c r="A11" s="4" t="s">
        <v>25</v>
      </c>
      <c r="B11" s="14"/>
      <c r="C11" s="14"/>
      <c r="D11" s="14"/>
      <c r="E11" s="14"/>
      <c r="F11" s="14"/>
      <c r="G11" s="14"/>
    </row>
    <row r="12" spans="1: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</row>
    <row r="13" spans="1:7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</row>
    <row r="14" spans="1:7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</row>
    <row r="15" spans="1:7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</row>
    <row r="16" spans="1:7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</row>
    <row r="17" spans="1:7" ht="28">
      <c r="A17" s="7" t="s">
        <v>35</v>
      </c>
      <c r="B17" s="8">
        <f t="shared" ref="B17:G17" si="0">B16</f>
        <v>12</v>
      </c>
      <c r="C17" s="8">
        <f t="shared" si="0"/>
        <v>12</v>
      </c>
      <c r="D17" s="18">
        <f t="shared" si="0"/>
        <v>23</v>
      </c>
      <c r="E17" s="18">
        <f t="shared" si="0"/>
        <v>23</v>
      </c>
      <c r="F17" s="8">
        <f t="shared" si="0"/>
        <v>23</v>
      </c>
      <c r="G17" s="8">
        <f t="shared" si="0"/>
        <v>23</v>
      </c>
    </row>
    <row r="18" spans="1:7" ht="42">
      <c r="A18" s="16" t="s">
        <v>37</v>
      </c>
      <c r="B18" s="15">
        <f t="shared" ref="B18:G18" si="1">B19+10*LOG10(B12/B14)-B20</f>
        <v>6.0205999132796251</v>
      </c>
      <c r="C18" s="15">
        <f t="shared" si="1"/>
        <v>6.0205999132796251</v>
      </c>
      <c r="D18" s="8">
        <f t="shared" si="1"/>
        <v>11.020599913279625</v>
      </c>
      <c r="E18" s="8">
        <f t="shared" si="1"/>
        <v>11.020599913279625</v>
      </c>
      <c r="F18" s="8">
        <f t="shared" si="1"/>
        <v>6.0205999132796251</v>
      </c>
      <c r="G18" s="8">
        <f t="shared" si="1"/>
        <v>6.0205999132796251</v>
      </c>
    </row>
    <row r="19" spans="1:7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</row>
    <row r="20" spans="1:7" ht="42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</row>
    <row r="21" spans="1:7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</row>
    <row r="22" spans="1:7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</row>
    <row r="23" spans="1:7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</row>
    <row r="24" spans="1:7" ht="28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</row>
    <row r="25" spans="1:7">
      <c r="A25" s="7" t="s">
        <v>49</v>
      </c>
      <c r="B25" s="8">
        <f t="shared" ref="B25:G25" si="2">B17+B18+B21+B22-B24</f>
        <v>17.020599913279625</v>
      </c>
      <c r="C25" s="8">
        <f t="shared" si="2"/>
        <v>17.020599913279625</v>
      </c>
      <c r="D25" s="18">
        <f t="shared" si="2"/>
        <v>33.020599913279625</v>
      </c>
      <c r="E25" s="18">
        <f t="shared" si="2"/>
        <v>33.020599913279625</v>
      </c>
      <c r="F25" s="8">
        <f t="shared" si="2"/>
        <v>28.020599913279625</v>
      </c>
      <c r="G25" s="8">
        <f t="shared" si="2"/>
        <v>28.020599913279625</v>
      </c>
    </row>
    <row r="26" spans="1:7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</row>
    <row r="27" spans="1:7">
      <c r="A27" s="4" t="s">
        <v>52</v>
      </c>
      <c r="B27" s="14"/>
      <c r="C27" s="14"/>
      <c r="D27" s="19"/>
      <c r="E27" s="19"/>
      <c r="F27" s="14"/>
      <c r="G27" s="14"/>
    </row>
    <row r="28" spans="1:7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</row>
    <row r="29" spans="1:7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</row>
    <row r="30" spans="1:7" ht="42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8">
        <f t="shared" si="3"/>
        <v>26.061799739838872</v>
      </c>
      <c r="E30" s="18">
        <f t="shared" si="3"/>
        <v>26.061799739838872</v>
      </c>
      <c r="F30" s="8">
        <f t="shared" si="3"/>
        <v>17.061799739838872</v>
      </c>
      <c r="G30" s="8">
        <f t="shared" si="3"/>
        <v>17.061799739838872</v>
      </c>
    </row>
    <row r="31" spans="1:7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</row>
    <row r="32" spans="1:7" ht="42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</row>
    <row r="33" spans="1:7" ht="28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</row>
    <row r="34" spans="1:7" ht="28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</row>
    <row r="35" spans="1:7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</row>
    <row r="36" spans="1:7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</row>
    <row r="37" spans="1:7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</row>
    <row r="38" spans="1:7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</row>
    <row r="39" spans="1:7" ht="28">
      <c r="A39" s="7" t="s">
        <v>66</v>
      </c>
      <c r="B39" s="15">
        <f t="shared" ref="B39:G39" si="4">10*LOG10(10^((B35+B36)/10)+10^(B37/10))</f>
        <v>-166.34726225295711</v>
      </c>
      <c r="C39" s="15">
        <f t="shared" si="4"/>
        <v>-166.34726225295711</v>
      </c>
      <c r="D39" s="18">
        <f t="shared" si="4"/>
        <v>-168.00651048203736</v>
      </c>
      <c r="E39" s="18">
        <f t="shared" si="4"/>
        <v>-168.00651048203736</v>
      </c>
      <c r="F39" s="8">
        <f t="shared" si="4"/>
        <v>-169.00000000000003</v>
      </c>
      <c r="G39" s="8">
        <f t="shared" si="4"/>
        <v>-169.00000000000003</v>
      </c>
    </row>
    <row r="40" spans="1:7" ht="28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</row>
    <row r="41" spans="1:7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>139*120*1000</f>
        <v>16680000</v>
      </c>
      <c r="G41" s="86">
        <f>139*120*1000</f>
        <v>16680000</v>
      </c>
    </row>
    <row r="42" spans="1:7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</row>
    <row r="43" spans="1:7">
      <c r="A43" s="7" t="s">
        <v>71</v>
      </c>
      <c r="B43" s="15">
        <f t="shared" ref="B43:G43" si="5">B39+10*LOG10(B41)</f>
        <v>-94.125301789939911</v>
      </c>
      <c r="C43" s="15">
        <f t="shared" si="5"/>
        <v>-94.125301789939911</v>
      </c>
      <c r="D43" s="18">
        <f t="shared" si="5"/>
        <v>-103.41258560444506</v>
      </c>
      <c r="E43" s="18">
        <f t="shared" si="5"/>
        <v>-103.41258560444506</v>
      </c>
      <c r="F43" s="8">
        <f t="shared" si="5"/>
        <v>-96.778039536982831</v>
      </c>
      <c r="G43" s="8">
        <f t="shared" si="5"/>
        <v>-96.778039536982831</v>
      </c>
    </row>
    <row r="44" spans="1:7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</row>
    <row r="45" spans="1:7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</row>
    <row r="46" spans="1:7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</row>
    <row r="47" spans="1:7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</row>
    <row r="48" spans="1:7" ht="28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</row>
    <row r="50" spans="1:7" ht="28">
      <c r="A50" s="7" t="s">
        <v>80</v>
      </c>
      <c r="B50" s="15">
        <f t="shared" ref="B50:G50" si="6">B43+B45+B47-B48</f>
        <v>-102.47530178993991</v>
      </c>
      <c r="C50" s="15">
        <f t="shared" si="6"/>
        <v>-102.47530178993991</v>
      </c>
      <c r="D50" s="18">
        <f t="shared" si="6"/>
        <v>-101.41258560444506</v>
      </c>
      <c r="E50" s="18">
        <f t="shared" si="6"/>
        <v>-101.41258560444506</v>
      </c>
      <c r="F50" s="8">
        <f t="shared" si="6"/>
        <v>-106.97803953698283</v>
      </c>
      <c r="G50" s="8">
        <f t="shared" si="6"/>
        <v>-106.97803953698283</v>
      </c>
    </row>
    <row r="51" spans="1:7" ht="28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</row>
    <row r="52" spans="1:7" ht="28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G52" si="7">D25+D30+D33-D34-D50</f>
        <v>157.49498525756354</v>
      </c>
      <c r="E52" s="27">
        <f t="shared" si="7"/>
        <v>157.49498525756354</v>
      </c>
      <c r="F52" s="39">
        <f t="shared" si="7"/>
        <v>149.06043919010133</v>
      </c>
      <c r="G52" s="39">
        <f t="shared" si="7"/>
        <v>149.06043919010133</v>
      </c>
    </row>
    <row r="53" spans="1:7" ht="28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</row>
    <row r="54" spans="1:7">
      <c r="A54" s="4" t="s">
        <v>86</v>
      </c>
      <c r="B54" s="14"/>
      <c r="C54" s="14"/>
      <c r="D54" s="19"/>
      <c r="E54" s="19"/>
      <c r="F54" s="14"/>
      <c r="G54" s="14"/>
    </row>
    <row r="55" spans="1:7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</row>
    <row r="56" spans="1:7" ht="28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</row>
    <row r="57" spans="1:7" ht="28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</row>
    <row r="58" spans="1:7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</row>
    <row r="59" spans="1:7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</row>
    <row r="60" spans="1:7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</row>
    <row r="61" spans="1:7" ht="28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G61" si="8">D52-D56+D58-D59+D60</f>
        <v>152.31498525756354</v>
      </c>
      <c r="E61" s="27">
        <f t="shared" si="8"/>
        <v>152.31498525756354</v>
      </c>
      <c r="F61" s="39">
        <f t="shared" si="8"/>
        <v>149.06043919010133</v>
      </c>
      <c r="G61" s="39">
        <f t="shared" si="8"/>
        <v>149.06043919010133</v>
      </c>
    </row>
    <row r="62" spans="1:7" ht="28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</row>
    <row r="63" spans="1:7">
      <c r="B63" s="42"/>
      <c r="C63" s="42"/>
      <c r="E63" s="2"/>
      <c r="F63" s="101"/>
      <c r="G63" s="101"/>
    </row>
    <row r="64" spans="1:7">
      <c r="A64" s="26" t="s">
        <v>97</v>
      </c>
      <c r="B64" s="27">
        <f t="shared" ref="B64:G64" si="9">B17+B22-B50+B21+B33</f>
        <v>114.47530178993991</v>
      </c>
      <c r="C64" s="27">
        <f t="shared" si="9"/>
        <v>114.47530178993991</v>
      </c>
      <c r="D64" s="27">
        <f t="shared" si="9"/>
        <v>124.41258560444506</v>
      </c>
      <c r="E64" s="27">
        <f t="shared" si="9"/>
        <v>124.41258560444506</v>
      </c>
      <c r="F64" s="39">
        <f t="shared" si="9"/>
        <v>129.97803953698283</v>
      </c>
      <c r="G64" s="39">
        <f t="shared" si="9"/>
        <v>129.97803953698283</v>
      </c>
    </row>
    <row r="65" spans="1:7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</row>
  </sheetData>
  <mergeCells count="3">
    <mergeCell ref="B1:C1"/>
    <mergeCell ref="D1:E1"/>
    <mergeCell ref="F1:G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47" customWidth="1"/>
    <col min="2" max="4" width="15.6640625" style="2" customWidth="1"/>
    <col min="5" max="5" width="15.6640625" style="48" customWidth="1"/>
    <col min="6" max="6" width="39.6640625" style="41" customWidth="1"/>
    <col min="7" max="16384" width="9" style="1"/>
  </cols>
  <sheetData>
    <row r="1" spans="1:6">
      <c r="A1" s="49" t="s">
        <v>0</v>
      </c>
    </row>
    <row r="2" spans="1:6" ht="28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05" t="s">
        <v>4</v>
      </c>
      <c r="C5" s="105"/>
      <c r="D5" s="105"/>
      <c r="E5" s="105"/>
      <c r="F5" s="105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5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6" ht="84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56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2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2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5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5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28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28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28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28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28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28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28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28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28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6" t="s">
        <v>88</v>
      </c>
    </row>
    <row r="61" spans="1:6" ht="28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7"/>
    </row>
    <row r="62" spans="1:6" ht="28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7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7"/>
    </row>
    <row r="64" spans="1:6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7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8"/>
    </row>
    <row r="66" spans="1:6" ht="28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>
      <c r="A75" s="47"/>
      <c r="B75" s="2"/>
      <c r="C75" s="2"/>
      <c r="D75" s="2"/>
      <c r="E75" s="48"/>
      <c r="F75" s="41"/>
    </row>
    <row r="77" spans="1:6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5"/>
  <sheetViews>
    <sheetView workbookViewId="0">
      <pane xSplit="1" ySplit="1" topLeftCell="T52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5.6640625" style="2" customWidth="1"/>
    <col min="3" max="5" width="15.6640625" style="1" customWidth="1"/>
    <col min="6" max="6" width="15.6640625" style="2" customWidth="1"/>
    <col min="7" max="7" width="15.6640625" style="1" customWidth="1"/>
    <col min="8" max="8" width="15.6640625" style="80" customWidth="1"/>
    <col min="9" max="13" width="15.6640625" style="1" customWidth="1"/>
    <col min="14" max="14" width="15.6640625" style="2" customWidth="1"/>
    <col min="15" max="15" width="15.6640625" style="1" customWidth="1"/>
    <col min="16" max="16" width="15.6640625" style="2" customWidth="1"/>
    <col min="17" max="19" width="15.6640625" style="1" customWidth="1"/>
    <col min="20" max="20" width="15.58203125" style="2" customWidth="1"/>
    <col min="21" max="23" width="15.58203125" style="1" customWidth="1"/>
    <col min="24" max="24" width="15.6640625" style="1" customWidth="1"/>
    <col min="25" max="25" width="13.6640625" style="1" customWidth="1"/>
    <col min="26" max="16384" width="9" style="1"/>
  </cols>
  <sheetData>
    <row r="1" spans="1:25" ht="14.25" customHeight="1">
      <c r="A1" s="3"/>
      <c r="B1" s="109" t="s">
        <v>101</v>
      </c>
      <c r="C1" s="110"/>
      <c r="D1" s="110"/>
      <c r="E1" s="111"/>
      <c r="F1" s="112" t="s">
        <v>102</v>
      </c>
      <c r="G1" s="112"/>
      <c r="H1" s="113" t="s">
        <v>119</v>
      </c>
      <c r="I1" s="114"/>
      <c r="J1" s="114"/>
      <c r="K1" s="115"/>
      <c r="L1" s="109" t="s">
        <v>121</v>
      </c>
      <c r="M1" s="110"/>
      <c r="N1" s="116" t="s">
        <v>126</v>
      </c>
      <c r="O1" s="117"/>
      <c r="P1" s="109" t="s">
        <v>127</v>
      </c>
      <c r="Q1" s="110"/>
      <c r="R1" s="110"/>
      <c r="S1" s="111"/>
      <c r="T1" s="109" t="s">
        <v>128</v>
      </c>
      <c r="U1" s="110"/>
      <c r="V1" s="110"/>
      <c r="W1" s="111"/>
      <c r="X1" s="116" t="s">
        <v>129</v>
      </c>
      <c r="Y1" s="117"/>
    </row>
    <row r="2" spans="1:25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  <c r="X3" s="8">
        <v>28</v>
      </c>
      <c r="Y3" s="8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  <c r="X4" s="8">
        <v>100</v>
      </c>
      <c r="Y4" s="8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9" t="s">
        <v>16</v>
      </c>
      <c r="Y5" s="99" t="s">
        <v>16</v>
      </c>
    </row>
    <row r="6" spans="1:2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9" t="s">
        <v>16</v>
      </c>
      <c r="Y6" s="99" t="s">
        <v>16</v>
      </c>
    </row>
    <row r="7" spans="1:2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  <c r="X7" s="43">
        <v>0.01</v>
      </c>
      <c r="Y7" s="43">
        <v>0.01</v>
      </c>
    </row>
    <row r="8" spans="1:2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9" t="s">
        <v>16</v>
      </c>
      <c r="Y8" s="99" t="s">
        <v>16</v>
      </c>
    </row>
    <row r="9" spans="1:25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  <c r="X9" s="86" t="s">
        <v>22</v>
      </c>
      <c r="Y9" s="86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  <c r="X10" s="8">
        <v>3</v>
      </c>
      <c r="Y10" s="8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  <c r="X11" s="14"/>
      <c r="Y11" s="14"/>
    </row>
    <row r="12" spans="1:2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</row>
    <row r="14" spans="1:2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</row>
    <row r="15" spans="1:2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</row>
    <row r="16" spans="1:2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2">X15+10*LOG10(X4)</f>
        <v>23</v>
      </c>
      <c r="Y16" s="8">
        <f t="shared" si="2"/>
        <v>23</v>
      </c>
    </row>
    <row r="17" spans="1:25" ht="28">
      <c r="A17" s="7" t="s">
        <v>35</v>
      </c>
      <c r="B17" s="15">
        <f t="shared" ref="B17:G17" si="3">B15+10*LOG10(B41/1000000)</f>
        <v>21.396037294708371</v>
      </c>
      <c r="C17" s="15">
        <f t="shared" si="3"/>
        <v>21.396037294708371</v>
      </c>
      <c r="D17" s="15">
        <f t="shared" si="3"/>
        <v>18.385737338068559</v>
      </c>
      <c r="E17" s="15">
        <f t="shared" si="3"/>
        <v>18.385737338068559</v>
      </c>
      <c r="F17" s="15">
        <f t="shared" si="3"/>
        <v>21.396037294708371</v>
      </c>
      <c r="G17" s="15">
        <f t="shared" si="3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4">L15+10*LOG10(L41/1000000)</f>
        <v>21.396037294708371</v>
      </c>
      <c r="M17" s="15">
        <f t="shared" si="4"/>
        <v>21.396037294708371</v>
      </c>
      <c r="N17" s="8">
        <f t="shared" ref="N17:S17" si="5">N15+10*LOG10(N41/1000000)</f>
        <v>21.396037294708371</v>
      </c>
      <c r="O17" s="8">
        <f t="shared" si="5"/>
        <v>21.396037294708371</v>
      </c>
      <c r="P17" s="15">
        <f t="shared" si="5"/>
        <v>21.396037294708371</v>
      </c>
      <c r="Q17" s="15">
        <f t="shared" si="5"/>
        <v>21.396037294708371</v>
      </c>
      <c r="R17" s="15">
        <f t="shared" si="5"/>
        <v>18.385737338068559</v>
      </c>
      <c r="S17" s="15">
        <f t="shared" si="5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6">X15+10*LOG10(X41/1000000)</f>
        <v>21.396037294708371</v>
      </c>
      <c r="Y17" s="8">
        <f t="shared" si="6"/>
        <v>21.396037294708371</v>
      </c>
    </row>
    <row r="18" spans="1:25" ht="42">
      <c r="A18" s="16" t="s">
        <v>37</v>
      </c>
      <c r="B18" s="15">
        <f t="shared" ref="B18:G18" si="7">B19+10*LOG10(B12/B13)-B20</f>
        <v>26.061799739838872</v>
      </c>
      <c r="C18" s="15">
        <f t="shared" si="7"/>
        <v>26.061799739838872</v>
      </c>
      <c r="D18" s="15">
        <f t="shared" si="7"/>
        <v>26.061799739838872</v>
      </c>
      <c r="E18" s="15">
        <f t="shared" si="7"/>
        <v>26.061799739838872</v>
      </c>
      <c r="F18" s="15">
        <f t="shared" si="7"/>
        <v>20.591799739838873</v>
      </c>
      <c r="G18" s="15">
        <f t="shared" si="7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8">L19+10*LOG10(L12/L13)-L20</f>
        <v>22.581799739838871</v>
      </c>
      <c r="M18" s="15">
        <f t="shared" si="8"/>
        <v>22.581799739838871</v>
      </c>
      <c r="N18" s="8">
        <f t="shared" ref="N18:S18" si="9">N19+10*LOG10(N12/N13)-N20</f>
        <v>26.061799739838872</v>
      </c>
      <c r="O18" s="8">
        <f t="shared" si="9"/>
        <v>26.061799739838872</v>
      </c>
      <c r="P18" s="15">
        <f t="shared" si="9"/>
        <v>26.061799739838872</v>
      </c>
      <c r="Q18" s="15">
        <f t="shared" si="9"/>
        <v>26.061799739838872</v>
      </c>
      <c r="R18" s="15">
        <f t="shared" si="9"/>
        <v>26.061799739838872</v>
      </c>
      <c r="S18" s="15">
        <f t="shared" si="9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0">X19+10*LOG10(X12/X13)-X20</f>
        <v>26.061799739838872</v>
      </c>
      <c r="Y18" s="8">
        <f t="shared" si="10"/>
        <v>26.061799739838872</v>
      </c>
    </row>
    <row r="19" spans="1:2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</row>
    <row r="21" spans="1:2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</row>
    <row r="22" spans="1:2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>
      <c r="A25" s="7" t="s">
        <v>49</v>
      </c>
      <c r="B25" s="15">
        <f t="shared" ref="B25:G25" si="11">B17+B18+B21+B22-B24</f>
        <v>44.457837034547239</v>
      </c>
      <c r="C25" s="15">
        <f t="shared" si="11"/>
        <v>44.457837034547239</v>
      </c>
      <c r="D25" s="15">
        <f t="shared" si="11"/>
        <v>41.447537077907427</v>
      </c>
      <c r="E25" s="15">
        <f t="shared" si="11"/>
        <v>41.447537077907427</v>
      </c>
      <c r="F25" s="15">
        <f t="shared" si="11"/>
        <v>38.98783703454724</v>
      </c>
      <c r="G25" s="15">
        <f t="shared" si="11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2">L17+L18+L21+L22-L24</f>
        <v>40.977837034547242</v>
      </c>
      <c r="M25" s="15">
        <f t="shared" si="12"/>
        <v>40.977837034547242</v>
      </c>
      <c r="N25" s="8">
        <f t="shared" ref="N25:S25" si="13">N17+N18+N21+N22-N24</f>
        <v>44.457837034547239</v>
      </c>
      <c r="O25" s="8">
        <f t="shared" si="13"/>
        <v>44.457837034547239</v>
      </c>
      <c r="P25" s="15">
        <f t="shared" si="13"/>
        <v>44.457837034547239</v>
      </c>
      <c r="Q25" s="15">
        <f t="shared" si="13"/>
        <v>44.457837034547239</v>
      </c>
      <c r="R25" s="15">
        <f t="shared" si="13"/>
        <v>41.447537077907427</v>
      </c>
      <c r="S25" s="15">
        <f t="shared" si="13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4">X17+X18+X21+X22-X24</f>
        <v>44.457837034547239</v>
      </c>
      <c r="Y25" s="8">
        <f t="shared" si="14"/>
        <v>44.457837034547239</v>
      </c>
    </row>
    <row r="26" spans="1:2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</row>
    <row r="27" spans="1:2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</row>
    <row r="29" spans="1:2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</row>
    <row r="30" spans="1:25" ht="42">
      <c r="A30" s="7" t="s">
        <v>55</v>
      </c>
      <c r="B30" s="15">
        <f t="shared" ref="B30:G30" si="15">B31+10*LOG10(B28/B29)-B32</f>
        <v>11.020599913279625</v>
      </c>
      <c r="C30" s="15">
        <f t="shared" si="15"/>
        <v>11.020599913279625</v>
      </c>
      <c r="D30" s="15">
        <f t="shared" si="15"/>
        <v>11.020599913279625</v>
      </c>
      <c r="E30" s="15">
        <f t="shared" si="15"/>
        <v>11.020599913279625</v>
      </c>
      <c r="F30" s="15">
        <f t="shared" si="15"/>
        <v>11.020599913279625</v>
      </c>
      <c r="G30" s="15">
        <f t="shared" si="15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16">L31+10*LOG10(L28/L29)-L32</f>
        <v>11.020599913279625</v>
      </c>
      <c r="M30" s="15">
        <f t="shared" si="16"/>
        <v>11.020599913279625</v>
      </c>
      <c r="N30" s="8">
        <f t="shared" ref="N30:S30" si="17">N31+10*LOG10(N28/N29)-N32</f>
        <v>11.020599913279625</v>
      </c>
      <c r="O30" s="8">
        <f t="shared" si="17"/>
        <v>11.020599913279625</v>
      </c>
      <c r="P30" s="15">
        <f t="shared" si="17"/>
        <v>11.020599913279625</v>
      </c>
      <c r="Q30" s="15">
        <f t="shared" si="17"/>
        <v>11.020599913279625</v>
      </c>
      <c r="R30" s="15">
        <f t="shared" si="17"/>
        <v>11.020599913279625</v>
      </c>
      <c r="S30" s="15">
        <f t="shared" si="17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  <c r="X30" s="8">
        <f t="shared" ref="X30:Y30" si="18">X31+10*LOG10(X28/X29)-X32</f>
        <v>11.020599913279625</v>
      </c>
      <c r="Y30" s="8">
        <f t="shared" si="18"/>
        <v>11.020599913279625</v>
      </c>
    </row>
    <row r="31" spans="1:2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</row>
    <row r="32" spans="1:2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  <c r="X32" s="86">
        <v>0</v>
      </c>
      <c r="Y32" s="86">
        <v>0</v>
      </c>
    </row>
    <row r="33" spans="1:2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</row>
    <row r="38" spans="1:2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28">
      <c r="A39" s="7" t="s">
        <v>108</v>
      </c>
      <c r="B39" s="15">
        <f t="shared" ref="B39:G39" si="19">10*LOG10(10^((B35+B36)/10)+10^(B37/10))</f>
        <v>-167.00000000000003</v>
      </c>
      <c r="C39" s="15">
        <f t="shared" si="19"/>
        <v>-167.00000000000003</v>
      </c>
      <c r="D39" s="15">
        <f t="shared" si="19"/>
        <v>-167.00000000000003</v>
      </c>
      <c r="E39" s="15">
        <f t="shared" si="19"/>
        <v>-167.00000000000003</v>
      </c>
      <c r="F39" s="15">
        <f t="shared" si="19"/>
        <v>-164</v>
      </c>
      <c r="G39" s="15">
        <f t="shared" si="19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0">10*LOG10(10^((L35+L36)/10)+10^(L37/10))</f>
        <v>-163.58607314841774</v>
      </c>
      <c r="M39" s="15">
        <f t="shared" si="20"/>
        <v>-163.58607314841774</v>
      </c>
      <c r="N39" s="8">
        <f t="shared" ref="N39:S39" si="21">10*LOG10(10^((N35+N36)/10)+10^(N37/10))</f>
        <v>-166.20990250347435</v>
      </c>
      <c r="O39" s="8">
        <f t="shared" si="21"/>
        <v>-166.20990250347435</v>
      </c>
      <c r="P39" s="15">
        <f t="shared" si="21"/>
        <v>-167.00000000000003</v>
      </c>
      <c r="Q39" s="15">
        <f t="shared" si="21"/>
        <v>-167.00000000000003</v>
      </c>
      <c r="R39" s="15">
        <f t="shared" si="21"/>
        <v>-167.00000000000003</v>
      </c>
      <c r="S39" s="15">
        <f t="shared" si="21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2">10*LOG10(10^((X35+X36)/10)+10^(X37/10))</f>
        <v>-166.20990250347435</v>
      </c>
      <c r="Y39" s="8">
        <f t="shared" si="22"/>
        <v>-166.20990250347435</v>
      </c>
    </row>
    <row r="40" spans="1:25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</row>
    <row r="41" spans="1:25">
      <c r="A41" s="24" t="s">
        <v>68</v>
      </c>
      <c r="B41" s="15">
        <f t="shared" ref="B41:C41" si="23">48*12*120*1000</f>
        <v>69120000</v>
      </c>
      <c r="C41" s="15">
        <f t="shared" si="23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24">48*12*120*1000</f>
        <v>69120000</v>
      </c>
      <c r="I41" s="73">
        <f t="shared" si="24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25">48*12*120*1000</f>
        <v>69120000</v>
      </c>
      <c r="O41" s="8">
        <f t="shared" si="25"/>
        <v>69120000</v>
      </c>
      <c r="P41" s="15">
        <f t="shared" si="25"/>
        <v>69120000</v>
      </c>
      <c r="Q41" s="15">
        <f t="shared" si="25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26">48*12*120*1000</f>
        <v>69120000</v>
      </c>
      <c r="U41" s="8">
        <f t="shared" si="26"/>
        <v>69120000</v>
      </c>
      <c r="V41" s="8">
        <f>24*12*120*1000</f>
        <v>34560000</v>
      </c>
      <c r="W41" s="8">
        <f>24*12*120*1000</f>
        <v>34560000</v>
      </c>
      <c r="X41" s="8">
        <f t="shared" ref="X41:Y41" si="27">48*12*120*1000</f>
        <v>69120000</v>
      </c>
      <c r="Y41" s="8">
        <f t="shared" si="27"/>
        <v>69120000</v>
      </c>
    </row>
    <row r="42" spans="1:2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>
      <c r="A43" s="7" t="s">
        <v>71</v>
      </c>
      <c r="B43" s="15">
        <f t="shared" ref="B43:G43" si="28">B39+10*LOG10(B41)</f>
        <v>-88.603962705291664</v>
      </c>
      <c r="C43" s="15">
        <f t="shared" si="28"/>
        <v>-88.603962705291664</v>
      </c>
      <c r="D43" s="15">
        <f t="shared" si="28"/>
        <v>-91.614262661931477</v>
      </c>
      <c r="E43" s="15">
        <f t="shared" si="28"/>
        <v>-91.614262661931477</v>
      </c>
      <c r="F43" s="15">
        <f t="shared" si="28"/>
        <v>-85.603962705291636</v>
      </c>
      <c r="G43" s="15">
        <f t="shared" si="28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29">L39+10*LOG10(L41)</f>
        <v>-85.190035853709375</v>
      </c>
      <c r="M43" s="15">
        <f t="shared" si="29"/>
        <v>-85.190035853709375</v>
      </c>
      <c r="N43" s="8">
        <f t="shared" ref="N43:S43" si="30">N39+10*LOG10(N41)</f>
        <v>-87.813865208765989</v>
      </c>
      <c r="O43" s="8">
        <f t="shared" si="30"/>
        <v>-87.813865208765989</v>
      </c>
      <c r="P43" s="15">
        <f t="shared" si="30"/>
        <v>-88.603962705291664</v>
      </c>
      <c r="Q43" s="15">
        <f t="shared" si="30"/>
        <v>-88.603962705291664</v>
      </c>
      <c r="R43" s="15">
        <f t="shared" si="30"/>
        <v>-91.614262661931477</v>
      </c>
      <c r="S43" s="15">
        <f t="shared" si="30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1">X39+10*LOG10(X41)</f>
        <v>-87.813865208765989</v>
      </c>
      <c r="Y43" s="8">
        <f t="shared" si="31"/>
        <v>-87.813865208765989</v>
      </c>
    </row>
    <row r="44" spans="1:2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</row>
    <row r="45" spans="1:25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</row>
    <row r="46" spans="1:2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</row>
    <row r="50" spans="1:25" ht="28">
      <c r="A50" s="7" t="s">
        <v>80</v>
      </c>
      <c r="B50" s="15">
        <f t="shared" ref="B50:G50" si="32">B43+B45+B47-B48</f>
        <v>-92.00396270529167</v>
      </c>
      <c r="C50" s="15">
        <f t="shared" si="32"/>
        <v>-87.903962705291661</v>
      </c>
      <c r="D50" s="15">
        <f t="shared" si="32"/>
        <v>-94.414262661931474</v>
      </c>
      <c r="E50" s="15">
        <f t="shared" si="32"/>
        <v>-90.114262661931477</v>
      </c>
      <c r="F50" s="15">
        <f t="shared" si="32"/>
        <v>-91.523962705291638</v>
      </c>
      <c r="G50" s="15">
        <f t="shared" si="32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33">L43+L45+L47-L48</f>
        <v>-89.500035853709377</v>
      </c>
      <c r="M50" s="15">
        <f t="shared" si="33"/>
        <v>-85.760035853709368</v>
      </c>
      <c r="N50" s="8">
        <f t="shared" ref="N50:S50" si="34">N43+N45+N47-N48</f>
        <v>-88.063865208765989</v>
      </c>
      <c r="O50" s="8">
        <f t="shared" si="34"/>
        <v>-84.813865208765989</v>
      </c>
      <c r="P50" s="15">
        <f t="shared" si="34"/>
        <v>-94.073962705291663</v>
      </c>
      <c r="Q50" s="15">
        <f t="shared" si="34"/>
        <v>-90.393962705291671</v>
      </c>
      <c r="R50" s="15">
        <f t="shared" si="34"/>
        <v>-93.374262661931482</v>
      </c>
      <c r="S50" s="15">
        <f t="shared" si="34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35">X43+X45+X47-X48</f>
        <v>-92.813865208765989</v>
      </c>
      <c r="Y50" s="8">
        <f t="shared" si="35"/>
        <v>-89.013865208765992</v>
      </c>
    </row>
    <row r="51" spans="1:25" ht="28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</row>
    <row r="52" spans="1:25" ht="28">
      <c r="A52" s="26" t="s">
        <v>83</v>
      </c>
      <c r="B52" s="39">
        <f t="shared" ref="B52:K52" si="36">B25+B30+B33-B34-B50</f>
        <v>146.48239965311853</v>
      </c>
      <c r="C52" s="39">
        <f t="shared" si="36"/>
        <v>142.38239965311851</v>
      </c>
      <c r="D52" s="39">
        <f t="shared" si="36"/>
        <v>145.88239965311851</v>
      </c>
      <c r="E52" s="39">
        <f t="shared" si="36"/>
        <v>141.58239965311853</v>
      </c>
      <c r="F52" s="39">
        <f t="shared" si="36"/>
        <v>140.53239965311849</v>
      </c>
      <c r="G52" s="39">
        <f t="shared" si="36"/>
        <v>137.15239965311849</v>
      </c>
      <c r="H52" s="76">
        <f t="shared" si="36"/>
        <v>145.90239965311855</v>
      </c>
      <c r="I52" s="76">
        <f>I25+I30+I33-I34-I50</f>
        <v>140.97239965311854</v>
      </c>
      <c r="J52" s="76">
        <f t="shared" si="36"/>
        <v>145.74239965311853</v>
      </c>
      <c r="K52" s="76">
        <f t="shared" si="36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37">N25+N30+N33-N34-N50</f>
        <v>142.54230215659285</v>
      </c>
      <c r="O52" s="39">
        <f>O25+O30+O33-O34-O50</f>
        <v>139.29230215659285</v>
      </c>
      <c r="P52" s="39">
        <f t="shared" ref="P52:X52" si="38">P25+P30+P33-P34-P50</f>
        <v>148.55239965311853</v>
      </c>
      <c r="Q52" s="39">
        <f>Q25+Q30+Q33-Q34-Q50</f>
        <v>144.87239965311852</v>
      </c>
      <c r="R52" s="39">
        <f t="shared" si="38"/>
        <v>144.84239965311855</v>
      </c>
      <c r="S52" s="39">
        <f t="shared" si="38"/>
        <v>140.25239965311852</v>
      </c>
      <c r="T52" s="39">
        <f t="shared" si="38"/>
        <v>133.08239965311853</v>
      </c>
      <c r="U52" s="39">
        <f>U25+U30+U33-U34-U50</f>
        <v>129.18239965311852</v>
      </c>
      <c r="V52" s="39">
        <f t="shared" si="38"/>
        <v>131.18239965311852</v>
      </c>
      <c r="W52" s="39">
        <f t="shared" si="38"/>
        <v>127.08239965311853</v>
      </c>
      <c r="X52" s="39">
        <f t="shared" si="38"/>
        <v>147.29230215659285</v>
      </c>
      <c r="Y52" s="39">
        <f>Y25+Y30+Y33-Y34-Y50</f>
        <v>143.49230215659287</v>
      </c>
    </row>
    <row r="53" spans="1:25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</row>
    <row r="54" spans="1:2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</row>
    <row r="56" spans="1:25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</row>
    <row r="57" spans="1:25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9" t="s">
        <v>16</v>
      </c>
      <c r="Y57" s="99" t="s">
        <v>16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  <c r="X58" s="86">
        <v>0</v>
      </c>
      <c r="Y58" s="86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  <c r="X59" s="86">
        <v>0</v>
      </c>
      <c r="Y59" s="86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  <c r="X60" s="86">
        <v>0</v>
      </c>
      <c r="Y60" s="86">
        <v>0</v>
      </c>
    </row>
    <row r="61" spans="1:25" ht="28">
      <c r="A61" s="26" t="s">
        <v>110</v>
      </c>
      <c r="B61" s="39">
        <f t="shared" ref="B61:K61" si="39">B52-B56+B58-B59+B60</f>
        <v>146.48239965311853</v>
      </c>
      <c r="C61" s="39">
        <f t="shared" si="39"/>
        <v>142.38239965311851</v>
      </c>
      <c r="D61" s="39">
        <f t="shared" si="39"/>
        <v>145.88239965311851</v>
      </c>
      <c r="E61" s="39">
        <f t="shared" si="39"/>
        <v>141.58239965311853</v>
      </c>
      <c r="F61" s="39">
        <f t="shared" si="39"/>
        <v>140.53239965311849</v>
      </c>
      <c r="G61" s="39">
        <f t="shared" si="39"/>
        <v>137.15239965311849</v>
      </c>
      <c r="H61" s="76">
        <f t="shared" si="39"/>
        <v>145.90239965311855</v>
      </c>
      <c r="I61" s="76">
        <f>I52-I56+I58-I59+I60</f>
        <v>140.97239965311854</v>
      </c>
      <c r="J61" s="76">
        <f t="shared" si="39"/>
        <v>145.74239965311853</v>
      </c>
      <c r="K61" s="76">
        <f t="shared" si="39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40">N52-N56+N58-N59+N60</f>
        <v>134.06230215659286</v>
      </c>
      <c r="O61" s="39">
        <f>O52-O56+O58-O59+O60</f>
        <v>130.81230215659286</v>
      </c>
      <c r="P61" s="39">
        <f t="shared" ref="P61:X61" si="41">P52-P56+P58-P59+P60</f>
        <v>148.55239965311853</v>
      </c>
      <c r="Q61" s="39">
        <f>Q52-Q56+Q58-Q59+Q60</f>
        <v>144.87239965311852</v>
      </c>
      <c r="R61" s="39">
        <f t="shared" si="41"/>
        <v>144.84239965311855</v>
      </c>
      <c r="S61" s="39">
        <f t="shared" si="41"/>
        <v>140.25239965311852</v>
      </c>
      <c r="T61" s="27">
        <f t="shared" si="41"/>
        <v>133.08239965311853</v>
      </c>
      <c r="U61" s="27">
        <f>U52-U56+U58-U59+U60</f>
        <v>129.18239965311852</v>
      </c>
      <c r="V61" s="27">
        <f t="shared" si="41"/>
        <v>131.18239965311852</v>
      </c>
      <c r="W61" s="27">
        <f t="shared" si="41"/>
        <v>127.08239965311853</v>
      </c>
      <c r="X61" s="39">
        <f t="shared" si="41"/>
        <v>138.81230215659286</v>
      </c>
      <c r="Y61" s="39">
        <f>Y52-Y56+Y58-Y59+Y60</f>
        <v>135.01230215659288</v>
      </c>
    </row>
    <row r="62" spans="1:25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  <c r="X62" s="100" t="s">
        <v>16</v>
      </c>
      <c r="Y62" s="100" t="s">
        <v>16</v>
      </c>
    </row>
    <row r="63" spans="1:2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</row>
    <row r="64" spans="1:25">
      <c r="A64" s="26" t="s">
        <v>97</v>
      </c>
      <c r="B64" s="39">
        <f t="shared" ref="B64:G64" si="42">B17+B22-B50+B21+B33</f>
        <v>113.40000000000003</v>
      </c>
      <c r="C64" s="39">
        <f t="shared" si="42"/>
        <v>109.30000000000004</v>
      </c>
      <c r="D64" s="39">
        <f t="shared" si="42"/>
        <v>112.80000000000004</v>
      </c>
      <c r="E64" s="39">
        <f t="shared" si="42"/>
        <v>108.50000000000003</v>
      </c>
      <c r="F64" s="39">
        <f t="shared" si="42"/>
        <v>112.92000000000002</v>
      </c>
      <c r="G64" s="39">
        <f t="shared" si="42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43">L17+L22-L50+L21+L33</f>
        <v>110.89607314841774</v>
      </c>
      <c r="M64" s="27">
        <f t="shared" si="43"/>
        <v>107.15607314841773</v>
      </c>
      <c r="N64" s="39">
        <f t="shared" ref="N64:S64" si="44">N17+N22-N50+N21+N33</f>
        <v>109.45990250347435</v>
      </c>
      <c r="O64" s="39">
        <f t="shared" si="44"/>
        <v>106.20990250347435</v>
      </c>
      <c r="P64" s="39">
        <f t="shared" si="44"/>
        <v>115.47000000000003</v>
      </c>
      <c r="Q64" s="39">
        <f t="shared" si="44"/>
        <v>111.79000000000005</v>
      </c>
      <c r="R64" s="39">
        <f t="shared" si="44"/>
        <v>111.76000000000005</v>
      </c>
      <c r="S64" s="39">
        <f t="shared" si="44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  <c r="X64" s="39">
        <f t="shared" ref="X64:Y64" si="45">X17+X22-X50+X21+X33</f>
        <v>114.20990250347435</v>
      </c>
      <c r="Y64" s="39">
        <f t="shared" si="45"/>
        <v>110.40990250347437</v>
      </c>
    </row>
    <row r="65" spans="1:2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</row>
  </sheetData>
  <mergeCells count="8"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5"/>
  <sheetViews>
    <sheetView workbookViewId="0">
      <pane xSplit="1" ySplit="1" topLeftCell="T52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5.6640625" style="2" customWidth="1"/>
    <col min="3" max="5" width="15.6640625" style="1" customWidth="1"/>
    <col min="6" max="6" width="15.6640625" style="2" customWidth="1"/>
    <col min="7" max="7" width="15.6640625" style="1" customWidth="1"/>
    <col min="8" max="8" width="15.6640625" style="80" customWidth="1"/>
    <col min="9" max="13" width="15.6640625" style="1" customWidth="1"/>
    <col min="14" max="14" width="15.6640625" style="2" customWidth="1"/>
    <col min="15" max="15" width="15.6640625" style="1" customWidth="1"/>
    <col min="16" max="16" width="15.6640625" style="2" customWidth="1"/>
    <col min="17" max="19" width="15.6640625" style="1" customWidth="1"/>
    <col min="20" max="20" width="15.58203125" style="2" customWidth="1"/>
    <col min="21" max="23" width="15.58203125" style="1" customWidth="1"/>
    <col min="24" max="24" width="16.5" style="1" customWidth="1"/>
    <col min="25" max="25" width="12.83203125" style="1" customWidth="1"/>
    <col min="26" max="16384" width="9" style="1"/>
  </cols>
  <sheetData>
    <row r="1" spans="1:25" ht="14.25" customHeight="1">
      <c r="A1" s="3"/>
      <c r="B1" s="109" t="s">
        <v>101</v>
      </c>
      <c r="C1" s="110"/>
      <c r="D1" s="110"/>
      <c r="E1" s="111"/>
      <c r="F1" s="109" t="s">
        <v>102</v>
      </c>
      <c r="G1" s="110"/>
      <c r="H1" s="113" t="s">
        <v>119</v>
      </c>
      <c r="I1" s="114"/>
      <c r="J1" s="114"/>
      <c r="K1" s="115"/>
      <c r="L1" s="109" t="s">
        <v>122</v>
      </c>
      <c r="M1" s="110"/>
      <c r="N1" s="109" t="s">
        <v>126</v>
      </c>
      <c r="O1" s="110"/>
      <c r="P1" s="109" t="s">
        <v>127</v>
      </c>
      <c r="Q1" s="110"/>
      <c r="R1" s="110"/>
      <c r="S1" s="111"/>
      <c r="T1" s="109" t="s">
        <v>128</v>
      </c>
      <c r="U1" s="110"/>
      <c r="V1" s="110"/>
      <c r="W1" s="111"/>
      <c r="X1" s="109" t="s">
        <v>129</v>
      </c>
      <c r="Y1" s="110"/>
    </row>
    <row r="2" spans="1:25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31" t="s">
        <v>103</v>
      </c>
      <c r="Y2" s="104" t="s">
        <v>104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8">
        <v>25000000</v>
      </c>
      <c r="W6" s="8">
        <v>25000000</v>
      </c>
      <c r="X6" s="8">
        <v>25000000</v>
      </c>
      <c r="Y6" s="8">
        <v>25000000</v>
      </c>
    </row>
    <row r="7" spans="1:2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</row>
    <row r="8" spans="1:2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43">
        <v>0.1</v>
      </c>
      <c r="W8" s="43">
        <v>0.1</v>
      </c>
      <c r="X8" s="43">
        <v>0.1</v>
      </c>
      <c r="Y8" s="43">
        <v>0.1</v>
      </c>
    </row>
    <row r="9" spans="1:25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</row>
    <row r="14" spans="1:2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</row>
    <row r="15" spans="1:2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</row>
    <row r="16" spans="1:2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3">X15+10*LOG10(X4)</f>
        <v>23</v>
      </c>
      <c r="Y16" s="8">
        <f t="shared" si="3"/>
        <v>23</v>
      </c>
    </row>
    <row r="17" spans="1:25" ht="28">
      <c r="A17" s="7" t="s">
        <v>35</v>
      </c>
      <c r="B17" s="15">
        <f t="shared" ref="B17:G17" si="4">B15+10*LOG10(B42/1000000)</f>
        <v>21.01815168581437</v>
      </c>
      <c r="C17" s="15">
        <f t="shared" si="4"/>
        <v>21.01815168581437</v>
      </c>
      <c r="D17" s="15">
        <f t="shared" si="4"/>
        <v>18.733358400660677</v>
      </c>
      <c r="E17" s="15">
        <f t="shared" si="4"/>
        <v>18.733358400660677</v>
      </c>
      <c r="F17" s="15">
        <f t="shared" si="4"/>
        <v>22.065505191014502</v>
      </c>
      <c r="G17" s="15">
        <f t="shared" si="4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5">L15+10*LOG10(L42/1000000)</f>
        <v>22.779064276371184</v>
      </c>
      <c r="M17" s="13">
        <f t="shared" si="5"/>
        <v>22.779064276371184</v>
      </c>
      <c r="N17" s="8">
        <f t="shared" ref="N17:S17" si="6">N15+10*LOG10(N42/1000000)</f>
        <v>22.779064276371184</v>
      </c>
      <c r="O17" s="8">
        <f t="shared" si="6"/>
        <v>22.779064276371184</v>
      </c>
      <c r="P17" s="15">
        <f t="shared" si="6"/>
        <v>22.779064276371184</v>
      </c>
      <c r="Q17" s="15">
        <f t="shared" si="6"/>
        <v>22.779064276371184</v>
      </c>
      <c r="R17" s="15">
        <f t="shared" si="6"/>
        <v>19.635124704151558</v>
      </c>
      <c r="S17" s="15">
        <f t="shared" si="6"/>
        <v>19.635124704151558</v>
      </c>
      <c r="T17" s="8">
        <f>T15+10*LOG10(T42/1000000)</f>
        <v>22.365137424788934</v>
      </c>
      <c r="U17" s="8">
        <f>U15+10*LOG10(U42/1000000)</f>
        <v>22.365137424788934</v>
      </c>
      <c r="V17" s="8">
        <f>V15+10*LOG10(V42/1000000)</f>
        <v>19.354837468149121</v>
      </c>
      <c r="W17" s="8">
        <f>W15+10*LOG10(W42/1000000)</f>
        <v>19.354837468149121</v>
      </c>
      <c r="X17" s="8">
        <f t="shared" ref="X17:Y17" si="7">X15+10*LOG10(X42/1000000)</f>
        <v>21.659326681931859</v>
      </c>
      <c r="Y17" s="8">
        <f t="shared" si="7"/>
        <v>21.659326681931859</v>
      </c>
    </row>
    <row r="18" spans="1:25" ht="42">
      <c r="A18" s="16" t="s">
        <v>37</v>
      </c>
      <c r="B18" s="15">
        <f t="shared" ref="B18:G18" si="8">B19+10*LOG10(B12/B13)-B20</f>
        <v>26.061799739838872</v>
      </c>
      <c r="C18" s="15">
        <f t="shared" si="8"/>
        <v>26.061799739838872</v>
      </c>
      <c r="D18" s="15">
        <f t="shared" si="8"/>
        <v>26.061799739838872</v>
      </c>
      <c r="E18" s="15">
        <f t="shared" si="8"/>
        <v>26.061799739838872</v>
      </c>
      <c r="F18" s="15">
        <f t="shared" si="8"/>
        <v>20.591799739838873</v>
      </c>
      <c r="G18" s="15">
        <f t="shared" si="8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9">L19+10*LOG10(L12/L13)-L20</f>
        <v>22.581799739838871</v>
      </c>
      <c r="M18" s="13">
        <f t="shared" si="9"/>
        <v>22.581799739838871</v>
      </c>
      <c r="N18" s="8">
        <f t="shared" ref="N18:S18" si="10">N19+10*LOG10(N12/N13)-N20</f>
        <v>26.061799739838872</v>
      </c>
      <c r="O18" s="8">
        <f t="shared" si="10"/>
        <v>26.061799739838872</v>
      </c>
      <c r="P18" s="15">
        <f t="shared" si="10"/>
        <v>26.061799739838872</v>
      </c>
      <c r="Q18" s="15">
        <f t="shared" si="10"/>
        <v>26.061799739838872</v>
      </c>
      <c r="R18" s="15">
        <f t="shared" si="10"/>
        <v>26.061799739838872</v>
      </c>
      <c r="S18" s="15">
        <f t="shared" si="10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1">X19+10*LOG10(X12/X13)-X20</f>
        <v>26.061799739838872</v>
      </c>
      <c r="Y18" s="8">
        <f t="shared" si="11"/>
        <v>26.061799739838872</v>
      </c>
    </row>
    <row r="19" spans="1:2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</row>
    <row r="21" spans="1:2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</row>
    <row r="22" spans="1:2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</row>
    <row r="26" spans="1:25">
      <c r="A26" s="7" t="s">
        <v>51</v>
      </c>
      <c r="B26" s="15">
        <f t="shared" ref="B26:G26" si="12">B17+B18+B21-B23-B24</f>
        <v>44.079951425653242</v>
      </c>
      <c r="C26" s="15">
        <f t="shared" si="12"/>
        <v>44.079951425653242</v>
      </c>
      <c r="D26" s="15">
        <f t="shared" si="12"/>
        <v>41.795158140499552</v>
      </c>
      <c r="E26" s="15">
        <f t="shared" si="12"/>
        <v>41.795158140499552</v>
      </c>
      <c r="F26" s="15">
        <f t="shared" si="12"/>
        <v>39.657304930853371</v>
      </c>
      <c r="G26" s="15">
        <f t="shared" si="12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3">L17+L18+L21-L23-L24</f>
        <v>42.360864016210058</v>
      </c>
      <c r="M26" s="13">
        <f t="shared" si="13"/>
        <v>42.360864016210058</v>
      </c>
      <c r="N26" s="8">
        <f t="shared" ref="N26:S26" si="14">N17+N18+N21-N23-N24</f>
        <v>45.840864016210055</v>
      </c>
      <c r="O26" s="8">
        <f t="shared" si="14"/>
        <v>45.840864016210055</v>
      </c>
      <c r="P26" s="15">
        <f t="shared" si="14"/>
        <v>45.840864016210055</v>
      </c>
      <c r="Q26" s="15">
        <f t="shared" si="14"/>
        <v>45.840864016210055</v>
      </c>
      <c r="R26" s="15">
        <f t="shared" si="14"/>
        <v>42.696924443990426</v>
      </c>
      <c r="S26" s="15">
        <f t="shared" si="14"/>
        <v>42.696924443990426</v>
      </c>
      <c r="T26" s="8">
        <f>T17+T18+T21-T23-T24</f>
        <v>36.426937164627802</v>
      </c>
      <c r="U26" s="8">
        <f>U17+U18+U21-U23-U24</f>
        <v>36.426937164627802</v>
      </c>
      <c r="V26" s="8">
        <f>V17+V18+V21-V23-V24</f>
        <v>33.416637207987989</v>
      </c>
      <c r="W26" s="8">
        <f>W17+W18+W21-W23-W24</f>
        <v>33.416637207987989</v>
      </c>
      <c r="X26" s="8">
        <f t="shared" ref="X26:Y26" si="15">X17+X18+X21-X23-X24</f>
        <v>44.721126421770734</v>
      </c>
      <c r="Y26" s="8">
        <f t="shared" si="15"/>
        <v>44.721126421770734</v>
      </c>
    </row>
    <row r="27" spans="1:2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</row>
    <row r="29" spans="1:2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</row>
    <row r="30" spans="1:25" ht="42">
      <c r="A30" s="7" t="s">
        <v>55</v>
      </c>
      <c r="B30" s="15">
        <f t="shared" ref="B30:G30" si="16">B31+10*LOG10(B28/B29)-B32</f>
        <v>11.020599913279625</v>
      </c>
      <c r="C30" s="15">
        <f t="shared" si="16"/>
        <v>11.020599913279625</v>
      </c>
      <c r="D30" s="15">
        <f t="shared" si="16"/>
        <v>11.020599913279625</v>
      </c>
      <c r="E30" s="15">
        <f t="shared" si="16"/>
        <v>11.020599913279625</v>
      </c>
      <c r="F30" s="15">
        <f t="shared" si="16"/>
        <v>11.020599913279625</v>
      </c>
      <c r="G30" s="15">
        <f t="shared" si="16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17">L31+10*LOG10(L28/L29)-L32</f>
        <v>11.020599913279625</v>
      </c>
      <c r="M30" s="13">
        <f t="shared" si="17"/>
        <v>11.020599913279625</v>
      </c>
      <c r="N30" s="8">
        <f t="shared" ref="N30:S30" si="18">N31+10*LOG10(N28/N29)-N32</f>
        <v>11.020599913279625</v>
      </c>
      <c r="O30" s="8">
        <f t="shared" si="18"/>
        <v>11.020599913279625</v>
      </c>
      <c r="P30" s="15">
        <f t="shared" si="18"/>
        <v>11.020599913279625</v>
      </c>
      <c r="Q30" s="15">
        <f t="shared" si="18"/>
        <v>11.020599913279625</v>
      </c>
      <c r="R30" s="15">
        <f t="shared" si="18"/>
        <v>11.020599913279625</v>
      </c>
      <c r="S30" s="15">
        <f t="shared" si="18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Y30" si="19">X31+10*LOG10(X28/X29)-X32</f>
        <v>11.020599913279625</v>
      </c>
      <c r="Y30" s="8">
        <f t="shared" si="19"/>
        <v>11.020599913279625</v>
      </c>
    </row>
    <row r="31" spans="1:2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</row>
    <row r="32" spans="1:2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</row>
    <row r="33" spans="1:2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</row>
    <row r="38" spans="1:2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-999</v>
      </c>
    </row>
    <row r="39" spans="1:25" ht="28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</row>
    <row r="40" spans="1:25" ht="28">
      <c r="A40" s="7" t="s">
        <v>109</v>
      </c>
      <c r="B40" s="15">
        <f t="shared" ref="B40:G40" si="20">10*LOG10(10^((B35+B36)/10)+10^(B38/10))</f>
        <v>-167.00000000000003</v>
      </c>
      <c r="C40" s="15">
        <f t="shared" si="20"/>
        <v>-167.00000000000003</v>
      </c>
      <c r="D40" s="15">
        <f t="shared" si="20"/>
        <v>-167.00000000000003</v>
      </c>
      <c r="E40" s="15">
        <f t="shared" si="20"/>
        <v>-167.00000000000003</v>
      </c>
      <c r="F40" s="15">
        <f t="shared" si="20"/>
        <v>-164</v>
      </c>
      <c r="G40" s="15">
        <f t="shared" si="20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21">10*LOG10(10^((L35+L36)/10)+10^(L38/10))</f>
        <v>-163.58607314841774</v>
      </c>
      <c r="M40" s="13">
        <f t="shared" si="21"/>
        <v>-163.58607314841774</v>
      </c>
      <c r="N40" s="8">
        <f t="shared" ref="N40:S40" si="22">10*LOG10(10^((N35+N36)/10)+10^(N38/10))</f>
        <v>-166.20990250347435</v>
      </c>
      <c r="O40" s="8">
        <f t="shared" si="22"/>
        <v>-166.20990250347435</v>
      </c>
      <c r="P40" s="15">
        <f t="shared" si="22"/>
        <v>-167.00000000000003</v>
      </c>
      <c r="Q40" s="15">
        <f t="shared" si="22"/>
        <v>-167.00000000000003</v>
      </c>
      <c r="R40" s="15">
        <f t="shared" si="22"/>
        <v>-167.00000000000003</v>
      </c>
      <c r="S40" s="15">
        <f t="shared" si="22"/>
        <v>-167.00000000000003</v>
      </c>
      <c r="T40" s="8">
        <f>10*LOG10(10^((T35+T36)/10)+10^(T38/10))</f>
        <v>-167.00000000000003</v>
      </c>
      <c r="U40" s="8">
        <f>10*LOG10(10^((U35+U36)/10)+10^(U38/10))</f>
        <v>-167.00000000000003</v>
      </c>
      <c r="V40" s="8">
        <f>10*LOG10(10^((V35+V36)/10)+10^(V38/10))</f>
        <v>-167.00000000000003</v>
      </c>
      <c r="W40" s="8">
        <f>10*LOG10(10^((W35+W36)/10)+10^(W38/10))</f>
        <v>-167.00000000000003</v>
      </c>
      <c r="X40" s="8">
        <f t="shared" ref="X40:Y40" si="23">10*LOG10(10^((X35+X36)/10)+10^(X38/10))</f>
        <v>-167.00000000000003</v>
      </c>
      <c r="Y40" s="8">
        <f t="shared" si="23"/>
        <v>-167.00000000000003</v>
      </c>
    </row>
    <row r="41" spans="1:2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</row>
    <row r="42" spans="1:25">
      <c r="A42" s="36" t="s">
        <v>70</v>
      </c>
      <c r="B42" s="25">
        <f t="shared" ref="B42:G42" si="24">44*12*120*1000</f>
        <v>63360000</v>
      </c>
      <c r="C42" s="25">
        <f t="shared" si="24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24"/>
        <v>63360000</v>
      </c>
      <c r="H42" s="83">
        <f>60*12*120*1000</f>
        <v>86400000</v>
      </c>
      <c r="I42" s="83">
        <f t="shared" ref="I42" si="25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26">66*12*120*1000</f>
        <v>95040000</v>
      </c>
      <c r="M42" s="92">
        <f t="shared" si="26"/>
        <v>95040000</v>
      </c>
      <c r="N42" s="88">
        <f t="shared" si="26"/>
        <v>95040000</v>
      </c>
      <c r="O42" s="88">
        <f t="shared" si="26"/>
        <v>95040000</v>
      </c>
      <c r="P42" s="92">
        <f t="shared" si="26"/>
        <v>95040000</v>
      </c>
      <c r="Q42" s="92">
        <f t="shared" si="26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27">60*12*120*1000</f>
        <v>86400000</v>
      </c>
      <c r="V42" s="88">
        <f>30*12*120*1000</f>
        <v>43200000</v>
      </c>
      <c r="W42" s="88">
        <f>30*12*120*1000</f>
        <v>43200000</v>
      </c>
      <c r="X42" s="92">
        <f>51*12*120*1000</f>
        <v>73440000</v>
      </c>
      <c r="Y42" s="92">
        <f>51*12*120*1000</f>
        <v>73440000</v>
      </c>
    </row>
    <row r="43" spans="1:2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</row>
    <row r="44" spans="1:25">
      <c r="A44" s="7" t="s">
        <v>72</v>
      </c>
      <c r="B44" s="15">
        <f t="shared" ref="B44:G44" si="28">B40+10*LOG10(B42)</f>
        <v>-88.981848314185655</v>
      </c>
      <c r="C44" s="15">
        <f t="shared" si="28"/>
        <v>-88.981848314185655</v>
      </c>
      <c r="D44" s="15">
        <f t="shared" si="28"/>
        <v>-91.266641599339351</v>
      </c>
      <c r="E44" s="15">
        <f t="shared" si="28"/>
        <v>-91.266641599339351</v>
      </c>
      <c r="F44" s="15">
        <f t="shared" si="28"/>
        <v>-84.934494808985505</v>
      </c>
      <c r="G44" s="15">
        <f t="shared" si="28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29">L40+10*LOG10(L42)</f>
        <v>-83.807008872046552</v>
      </c>
      <c r="M44" s="13">
        <f t="shared" si="29"/>
        <v>-83.807008872046552</v>
      </c>
      <c r="N44" s="8">
        <f t="shared" ref="N44:S44" si="30">N40+10*LOG10(N42)</f>
        <v>-86.430838227103166</v>
      </c>
      <c r="O44" s="8">
        <f t="shared" si="30"/>
        <v>-86.430838227103166</v>
      </c>
      <c r="P44" s="15">
        <f t="shared" si="30"/>
        <v>-87.220935723628841</v>
      </c>
      <c r="Q44" s="15">
        <f t="shared" si="30"/>
        <v>-87.220935723628841</v>
      </c>
      <c r="R44" s="15">
        <f t="shared" si="30"/>
        <v>-90.364875295848478</v>
      </c>
      <c r="S44" s="15">
        <f t="shared" si="30"/>
        <v>-90.364875295848478</v>
      </c>
      <c r="T44" s="8">
        <f>T40+10*LOG10(T42)</f>
        <v>-87.634862575211102</v>
      </c>
      <c r="U44" s="8">
        <f>U40+10*LOG10(U42)</f>
        <v>-87.634862575211102</v>
      </c>
      <c r="V44" s="8">
        <f>V40+10*LOG10(V42)</f>
        <v>-90.645162531850914</v>
      </c>
      <c r="W44" s="8">
        <f>W40+10*LOG10(W42)</f>
        <v>-90.645162531850914</v>
      </c>
      <c r="X44" s="8">
        <f t="shared" ref="X44:Y44" si="31">X40+10*LOG10(X42)</f>
        <v>-88.34067331806817</v>
      </c>
      <c r="Y44" s="8">
        <f t="shared" si="31"/>
        <v>-88.34067331806817</v>
      </c>
    </row>
    <row r="45" spans="1:2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</row>
    <row r="46" spans="1:2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88">
        <v>-2</v>
      </c>
      <c r="W46" s="88">
        <v>2.2000000000000002</v>
      </c>
      <c r="X46" s="92">
        <v>-1.36</v>
      </c>
      <c r="Y46" s="92">
        <v>2.77</v>
      </c>
    </row>
    <row r="47" spans="1:2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</row>
    <row r="51" spans="1:25" ht="28">
      <c r="A51" s="7" t="s">
        <v>82</v>
      </c>
      <c r="B51" s="15">
        <f t="shared" ref="B51:G51" si="32">B44+B46+B47-B49</f>
        <v>-87.181848314185658</v>
      </c>
      <c r="C51" s="15">
        <f t="shared" si="32"/>
        <v>-82.281848314185652</v>
      </c>
      <c r="D51" s="15">
        <f t="shared" si="32"/>
        <v>-85.166641599339357</v>
      </c>
      <c r="E51" s="15">
        <f t="shared" si="32"/>
        <v>-79.066641599339349</v>
      </c>
      <c r="F51" s="15">
        <f t="shared" si="32"/>
        <v>-84.834494808985511</v>
      </c>
      <c r="G51" s="15">
        <f t="shared" si="32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33">L44+L46+L47-L49</f>
        <v>-83.597008872046558</v>
      </c>
      <c r="M51" s="13">
        <f t="shared" si="33"/>
        <v>-78.447008872046553</v>
      </c>
      <c r="N51" s="8">
        <f t="shared" ref="N51:S51" si="34">N44+N46+N47-N49</f>
        <v>-83.430838227103166</v>
      </c>
      <c r="O51" s="8">
        <f t="shared" si="34"/>
        <v>-80.130838227103169</v>
      </c>
      <c r="P51" s="15">
        <f t="shared" si="34"/>
        <v>-87.110935723628842</v>
      </c>
      <c r="Q51" s="15">
        <f t="shared" si="34"/>
        <v>-82.570935723628835</v>
      </c>
      <c r="R51" s="15">
        <f t="shared" si="34"/>
        <v>-84.664875295848475</v>
      </c>
      <c r="S51" s="15">
        <f t="shared" si="34"/>
        <v>-78.564875295848481</v>
      </c>
      <c r="T51" s="8">
        <f>T44+T46+T47-T49</f>
        <v>-87.934862575211099</v>
      </c>
      <c r="U51" s="8">
        <f>U44+U46+U47-U49</f>
        <v>-83.934862575211099</v>
      </c>
      <c r="V51" s="8">
        <f>V44+V46+V47-V49</f>
        <v>-90.645162531850914</v>
      </c>
      <c r="W51" s="8">
        <f>W44+W46+W47-W49</f>
        <v>-86.445162531850912</v>
      </c>
      <c r="X51" s="8">
        <f t="shared" ref="X51:Y51" si="35">X44+X46+X47-X49</f>
        <v>-87.700673318068169</v>
      </c>
      <c r="Y51" s="8">
        <f t="shared" si="35"/>
        <v>-83.570673318068174</v>
      </c>
    </row>
    <row r="52" spans="1:2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  <c r="X52" s="100" t="s">
        <v>16</v>
      </c>
      <c r="Y52" s="100" t="s">
        <v>16</v>
      </c>
    </row>
    <row r="53" spans="1:25" ht="28">
      <c r="A53" s="26" t="s">
        <v>85</v>
      </c>
      <c r="B53" s="39">
        <f t="shared" ref="B53:K53" si="36">B26+B30+B33-B34-B51</f>
        <v>141.28239965311852</v>
      </c>
      <c r="C53" s="39">
        <f t="shared" si="36"/>
        <v>136.38239965311851</v>
      </c>
      <c r="D53" s="39">
        <f t="shared" si="36"/>
        <v>136.98239965311853</v>
      </c>
      <c r="E53" s="39">
        <f t="shared" si="36"/>
        <v>130.88239965311851</v>
      </c>
      <c r="F53" s="39">
        <f t="shared" si="36"/>
        <v>134.51239965311851</v>
      </c>
      <c r="G53" s="39">
        <f t="shared" si="36"/>
        <v>129.16239965311848</v>
      </c>
      <c r="H53" s="76">
        <f t="shared" si="36"/>
        <v>142.89239965311853</v>
      </c>
      <c r="I53" s="76">
        <f>I26+I30+I33-I34-I51</f>
        <v>138.79239965311854</v>
      </c>
      <c r="J53" s="76">
        <f t="shared" si="36"/>
        <v>137.22239965311852</v>
      </c>
      <c r="K53" s="76">
        <f t="shared" si="36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37">N26+N30+N33-N34-N51</f>
        <v>139.29230215659285</v>
      </c>
      <c r="O53" s="39">
        <f>O26+O30+O33-O34-O51</f>
        <v>135.99230215659284</v>
      </c>
      <c r="P53" s="39">
        <f t="shared" ref="P53:S53" si="38">P26+P30+P33-P34-P51</f>
        <v>142.97239965311852</v>
      </c>
      <c r="Q53" s="39">
        <f>Q26+Q30+Q33-Q34-Q51</f>
        <v>138.43239965311852</v>
      </c>
      <c r="R53" s="39">
        <f t="shared" si="38"/>
        <v>137.38239965311851</v>
      </c>
      <c r="S53" s="39">
        <f t="shared" si="38"/>
        <v>131.28239965311855</v>
      </c>
      <c r="T53" s="39">
        <f>T26+T30+T33-T34-T51</f>
        <v>128.38239965311851</v>
      </c>
      <c r="U53" s="39">
        <f>U26+U30+U33-U34-U51</f>
        <v>124.38239965311853</v>
      </c>
      <c r="V53" s="39">
        <f t="shared" ref="V53:X53" si="39">V26+V30+V33-V34-V51</f>
        <v>128.08239965311853</v>
      </c>
      <c r="W53" s="39">
        <f t="shared" si="39"/>
        <v>123.88239965311853</v>
      </c>
      <c r="X53" s="39">
        <f t="shared" si="39"/>
        <v>142.44239965311851</v>
      </c>
      <c r="Y53" s="39">
        <f>Y26+Y30+Y33-Y34-Y51</f>
        <v>138.31239965311852</v>
      </c>
    </row>
    <row r="54" spans="1:2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0</v>
      </c>
      <c r="Y55" s="86">
        <v>0</v>
      </c>
    </row>
    <row r="56" spans="1:2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</row>
    <row r="57" spans="1:2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  <c r="X61" s="100" t="s">
        <v>16</v>
      </c>
      <c r="Y61" s="100" t="s">
        <v>16</v>
      </c>
    </row>
    <row r="62" spans="1:25" ht="28">
      <c r="A62" s="26" t="s">
        <v>111</v>
      </c>
      <c r="B62" s="39">
        <f t="shared" ref="B62:K62" si="40">B53-B57+B58-B59+B60</f>
        <v>141.28239965311852</v>
      </c>
      <c r="C62" s="39">
        <f t="shared" si="40"/>
        <v>136.38239965311851</v>
      </c>
      <c r="D62" s="39">
        <f t="shared" si="40"/>
        <v>136.98239965311853</v>
      </c>
      <c r="E62" s="39">
        <f t="shared" si="40"/>
        <v>130.88239965311851</v>
      </c>
      <c r="F62" s="39">
        <f t="shared" si="40"/>
        <v>134.51239965311851</v>
      </c>
      <c r="G62" s="39">
        <f t="shared" si="40"/>
        <v>129.16239965311848</v>
      </c>
      <c r="H62" s="76">
        <f t="shared" si="40"/>
        <v>142.89239965311853</v>
      </c>
      <c r="I62" s="76">
        <f>I53-I57+I58-I59+I60</f>
        <v>138.79239965311854</v>
      </c>
      <c r="J62" s="76">
        <f t="shared" si="40"/>
        <v>137.22239965311852</v>
      </c>
      <c r="K62" s="76">
        <f t="shared" si="40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41">N53-N57+N58-N59+N60</f>
        <v>134.11230215659285</v>
      </c>
      <c r="O62" s="39">
        <f>O53-O57+O58-O59+O60</f>
        <v>130.81230215659284</v>
      </c>
      <c r="P62" s="39">
        <f t="shared" ref="P62:S62" si="42">P53-P57+P58-P59+P60</f>
        <v>142.97239965311852</v>
      </c>
      <c r="Q62" s="39">
        <f>Q53-Q57+Q58-Q59+Q60</f>
        <v>138.43239965311852</v>
      </c>
      <c r="R62" s="39">
        <f t="shared" si="42"/>
        <v>137.38239965311851</v>
      </c>
      <c r="S62" s="39">
        <f t="shared" si="42"/>
        <v>131.28239965311855</v>
      </c>
      <c r="T62" s="39">
        <f>T53-T57+T58-T59+T60</f>
        <v>128.38239965311851</v>
      </c>
      <c r="U62" s="39">
        <f>U53-U57+U58-U59+U60</f>
        <v>124.38239965311853</v>
      </c>
      <c r="V62" s="39">
        <f t="shared" ref="V62:X62" si="43">V53-V57+V58-V59+V60</f>
        <v>128.08239965311853</v>
      </c>
      <c r="W62" s="39">
        <f t="shared" si="43"/>
        <v>123.88239965311853</v>
      </c>
      <c r="X62" s="39">
        <f t="shared" si="43"/>
        <v>142.44239965311851</v>
      </c>
      <c r="Y62" s="39">
        <f>Y53-Y57+Y58-Y59+Y60</f>
        <v>138.31239965311852</v>
      </c>
    </row>
    <row r="63" spans="1:2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</row>
    <row r="64" spans="1:2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  <c r="X64" s="100" t="s">
        <v>16</v>
      </c>
      <c r="Y64" s="100" t="s">
        <v>16</v>
      </c>
    </row>
    <row r="65" spans="1:25">
      <c r="A65" s="26" t="s">
        <v>98</v>
      </c>
      <c r="B65" s="39">
        <f t="shared" ref="B65:K65" si="44">B17-B23-B51+B21+B33</f>
        <v>108.20000000000003</v>
      </c>
      <c r="C65" s="39">
        <f t="shared" si="44"/>
        <v>103.30000000000003</v>
      </c>
      <c r="D65" s="39">
        <f t="shared" si="44"/>
        <v>103.90000000000003</v>
      </c>
      <c r="E65" s="39">
        <f t="shared" si="44"/>
        <v>97.800000000000026</v>
      </c>
      <c r="F65" s="39">
        <f t="shared" si="44"/>
        <v>106.9</v>
      </c>
      <c r="G65" s="39">
        <f t="shared" si="44"/>
        <v>101.55</v>
      </c>
      <c r="H65" s="76">
        <f t="shared" si="44"/>
        <v>109.81000000000003</v>
      </c>
      <c r="I65" s="76">
        <f>I17-I23-I51+I21+I33</f>
        <v>105.71000000000004</v>
      </c>
      <c r="J65" s="76">
        <f t="shared" si="44"/>
        <v>104.14000000000003</v>
      </c>
      <c r="K65" s="76">
        <f t="shared" si="44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45">N17-N23-N51+N21+N33</f>
        <v>106.20990250347435</v>
      </c>
      <c r="O65" s="39">
        <f>O17-O23-O51+O21+O33</f>
        <v>102.90990250347436</v>
      </c>
      <c r="P65" s="39">
        <f t="shared" ref="P65:X65" si="46">P17-P23-P51+P21+P33</f>
        <v>109.89000000000003</v>
      </c>
      <c r="Q65" s="39">
        <f>Q17-Q23-Q51+Q21+Q33</f>
        <v>105.35000000000002</v>
      </c>
      <c r="R65" s="39">
        <f t="shared" si="46"/>
        <v>104.30000000000004</v>
      </c>
      <c r="S65" s="39">
        <f t="shared" si="46"/>
        <v>98.200000000000045</v>
      </c>
      <c r="T65" s="27">
        <f t="shared" si="46"/>
        <v>110.30000000000004</v>
      </c>
      <c r="U65" s="27">
        <f>U17-U23-U51+U21+U33</f>
        <v>106.30000000000004</v>
      </c>
      <c r="V65" s="27">
        <f t="shared" si="46"/>
        <v>110.00000000000003</v>
      </c>
      <c r="W65" s="27">
        <f t="shared" si="46"/>
        <v>105.80000000000004</v>
      </c>
      <c r="X65" s="39">
        <f t="shared" si="46"/>
        <v>109.36000000000003</v>
      </c>
      <c r="Y65" s="39">
        <f>Y17-Y23-Y51+Y21+Y33</f>
        <v>105.23000000000003</v>
      </c>
    </row>
  </sheetData>
  <mergeCells count="8"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5"/>
  <sheetViews>
    <sheetView workbookViewId="0">
      <pane xSplit="1" ySplit="1" topLeftCell="M52" activePane="bottomRight" state="frozen"/>
      <selection pane="topRight"/>
      <selection pane="bottomLeft"/>
      <selection pane="bottomRight" activeCell="P1" sqref="P1:Q65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80" customWidth="1"/>
    <col min="7" max="7" width="17.1640625" style="1" customWidth="1"/>
    <col min="8" max="8" width="14.6640625" style="1" bestFit="1" customWidth="1"/>
    <col min="9" max="9" width="17.33203125" style="1" bestFit="1" customWidth="1"/>
    <col min="10" max="10" width="17.83203125" style="2" customWidth="1"/>
    <col min="11" max="11" width="17.1640625" style="1" customWidth="1"/>
    <col min="12" max="12" width="17.83203125" style="2" customWidth="1"/>
    <col min="13" max="13" width="17.1640625" style="1" customWidth="1"/>
    <col min="14" max="14" width="17.83203125" style="2" customWidth="1"/>
    <col min="15" max="15" width="17.08203125" style="1" customWidth="1"/>
    <col min="16" max="16" width="14.4140625" style="1" customWidth="1"/>
    <col min="17" max="17" width="17.4140625" style="1" customWidth="1"/>
    <col min="18" max="16384" width="9" style="1"/>
  </cols>
  <sheetData>
    <row r="1" spans="1:17" ht="14.25" customHeight="1">
      <c r="A1" s="3"/>
      <c r="B1" s="112" t="s">
        <v>101</v>
      </c>
      <c r="C1" s="112"/>
      <c r="D1" s="112" t="s">
        <v>102</v>
      </c>
      <c r="E1" s="112"/>
      <c r="F1" s="118" t="s">
        <v>119</v>
      </c>
      <c r="G1" s="118"/>
      <c r="H1" s="112" t="s">
        <v>123</v>
      </c>
      <c r="I1" s="112"/>
      <c r="J1" s="112" t="s">
        <v>126</v>
      </c>
      <c r="K1" s="112"/>
      <c r="L1" s="112" t="s">
        <v>127</v>
      </c>
      <c r="M1" s="112"/>
      <c r="N1" s="112" t="s">
        <v>128</v>
      </c>
      <c r="O1" s="112"/>
      <c r="P1" s="112" t="s">
        <v>129</v>
      </c>
      <c r="Q1" s="112"/>
    </row>
    <row r="2" spans="1:1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</row>
    <row r="3" spans="1:1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</row>
    <row r="8" spans="1:17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99" t="s">
        <v>16</v>
      </c>
      <c r="Q8" s="99" t="s">
        <v>16</v>
      </c>
    </row>
    <row r="9" spans="1:17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</row>
    <row r="10" spans="1:17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</row>
    <row r="13" spans="1:17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</row>
    <row r="14" spans="1:17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</row>
    <row r="15" spans="1:17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</row>
    <row r="17" spans="1:17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 t="shared" ref="P17:Q17" si="2">P16</f>
        <v>23</v>
      </c>
      <c r="Q17" s="8">
        <f t="shared" si="2"/>
        <v>23</v>
      </c>
    </row>
    <row r="18" spans="1:17" ht="42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11.020599913279625</v>
      </c>
      <c r="I18" s="13">
        <f t="shared" si="4"/>
        <v>11.020599913279625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8">
        <f t="shared" ref="P18:Q18" si="5">P19+10*LOG10(P12/P14)-P20</f>
        <v>11.020599913279625</v>
      </c>
      <c r="Q18" s="8">
        <f t="shared" si="5"/>
        <v>11.020599913279625</v>
      </c>
    </row>
    <row r="19" spans="1:17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</row>
    <row r="20" spans="1:17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6">B17+B18+B21+B22-B24</f>
        <v>22.020599913279625</v>
      </c>
      <c r="C25" s="8">
        <f t="shared" si="6"/>
        <v>22.020599913279625</v>
      </c>
      <c r="D25" s="8">
        <f t="shared" si="6"/>
        <v>33.020599913279625</v>
      </c>
      <c r="E25" s="8">
        <f t="shared" si="6"/>
        <v>33.020599913279625</v>
      </c>
      <c r="F25" s="69">
        <f t="shared" si="6"/>
        <v>33.020599913279625</v>
      </c>
      <c r="G25" s="69">
        <f t="shared" si="6"/>
        <v>33.020599913279625</v>
      </c>
      <c r="H25" s="18">
        <f t="shared" ref="H25:M25" si="7">H17+H18+H21+H22-H24</f>
        <v>22.020599913279625</v>
      </c>
      <c r="I25" s="18">
        <f t="shared" si="7"/>
        <v>22.020599913279625</v>
      </c>
      <c r="J25" s="8">
        <f t="shared" si="7"/>
        <v>33.020599913279625</v>
      </c>
      <c r="K25" s="8">
        <f t="shared" si="7"/>
        <v>33.020599913279625</v>
      </c>
      <c r="L25" s="8">
        <f t="shared" si="7"/>
        <v>33.020599913279625</v>
      </c>
      <c r="M25" s="8">
        <f t="shared" si="7"/>
        <v>33.020599913279625</v>
      </c>
      <c r="N25" s="8">
        <f>N17+N18+N21+N22-N24</f>
        <v>28.020599913279625</v>
      </c>
      <c r="O25" s="8">
        <f>O17+O18+O21+O22-O24</f>
        <v>28.020599913279625</v>
      </c>
      <c r="P25" s="8">
        <f t="shared" ref="P25:Q25" si="8">P17+P18+P21+P22-P24</f>
        <v>33.020599913279625</v>
      </c>
      <c r="Q25" s="8">
        <f t="shared" si="8"/>
        <v>33.020599913279625</v>
      </c>
    </row>
    <row r="26" spans="1:17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</row>
    <row r="28" spans="1:17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</row>
    <row r="29" spans="1:17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</row>
    <row r="30" spans="1:17" ht="42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20.591799739838873</v>
      </c>
      <c r="E30" s="15">
        <f t="shared" si="9"/>
        <v>20.591799739838873</v>
      </c>
      <c r="F30" s="73">
        <f t="shared" si="9"/>
        <v>26.061799739838872</v>
      </c>
      <c r="G30" s="73">
        <f t="shared" si="9"/>
        <v>26.061799739838872</v>
      </c>
      <c r="H30" s="15">
        <f t="shared" ref="H30:M30" si="10">H31+10*LOG10(H28/H13)-H32</f>
        <v>26.061799739838872</v>
      </c>
      <c r="I30" s="15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8">
        <f t="shared" ref="P30:Q30" si="11">P31+10*LOG10(P28/P13)-P32</f>
        <v>26.061799739838872</v>
      </c>
      <c r="Q30" s="8">
        <f t="shared" si="11"/>
        <v>26.061799739838872</v>
      </c>
    </row>
    <row r="31" spans="1:17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2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0</v>
      </c>
      <c r="Q32" s="86">
        <v>0</v>
      </c>
    </row>
    <row r="33" spans="1:17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</row>
    <row r="34" spans="1:17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</row>
    <row r="38" spans="1:17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8" t="s">
        <v>16</v>
      </c>
      <c r="Q38" s="8" t="s">
        <v>16</v>
      </c>
    </row>
    <row r="39" spans="1:17" ht="28">
      <c r="A39" s="7" t="s">
        <v>66</v>
      </c>
      <c r="B39" s="15">
        <f t="shared" ref="B39:G39" si="12">10*LOG10(10^((B35+B36)/10)+10^(B37/10))</f>
        <v>-169.00000000000003</v>
      </c>
      <c r="C39" s="15">
        <f t="shared" si="12"/>
        <v>-169.00000000000003</v>
      </c>
      <c r="D39" s="15">
        <f t="shared" si="12"/>
        <v>-167.00000000000003</v>
      </c>
      <c r="E39" s="15">
        <f t="shared" si="12"/>
        <v>-167.00000000000003</v>
      </c>
      <c r="F39" s="73">
        <f t="shared" si="12"/>
        <v>-169.00000000000003</v>
      </c>
      <c r="G39" s="73">
        <f t="shared" si="12"/>
        <v>-169.00000000000003</v>
      </c>
      <c r="H39" s="15">
        <f t="shared" ref="H39:M39" si="13">10*LOG10(10^((H35+H36)/10)+10^(H37/10))</f>
        <v>-166.34726225295711</v>
      </c>
      <c r="I39" s="15">
        <f t="shared" si="13"/>
        <v>-166.34726225295711</v>
      </c>
      <c r="J39" s="8">
        <f t="shared" si="13"/>
        <v>-168.00651048203736</v>
      </c>
      <c r="K39" s="8">
        <f t="shared" si="13"/>
        <v>-168.00651048203736</v>
      </c>
      <c r="L39" s="15">
        <f t="shared" si="13"/>
        <v>-169.00000000000003</v>
      </c>
      <c r="M39" s="15">
        <f t="shared" si="13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8">
        <f t="shared" ref="P39:Q39" si="14">10*LOG10(10^((P35+P36)/10)+10^(P37/10))</f>
        <v>-169.00000000000003</v>
      </c>
      <c r="Q39" s="8">
        <f t="shared" si="14"/>
        <v>-169.00000000000003</v>
      </c>
    </row>
    <row r="40" spans="1:17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</row>
    <row r="41" spans="1:17">
      <c r="A41" s="24" t="s">
        <v>68</v>
      </c>
      <c r="B41" s="15">
        <f t="shared" ref="B41:G41" si="15">1*12*120*1000</f>
        <v>1440000</v>
      </c>
      <c r="C41" s="15">
        <f t="shared" si="15"/>
        <v>1440000</v>
      </c>
      <c r="D41" s="15">
        <f t="shared" si="15"/>
        <v>1440000</v>
      </c>
      <c r="E41" s="15">
        <f t="shared" si="15"/>
        <v>1440000</v>
      </c>
      <c r="F41" s="73">
        <f t="shared" si="15"/>
        <v>1440000</v>
      </c>
      <c r="G41" s="73">
        <f t="shared" si="15"/>
        <v>1440000</v>
      </c>
      <c r="H41" s="15">
        <f>1*12*120*1000</f>
        <v>1440000</v>
      </c>
      <c r="I41" s="15">
        <f>1*12*120*1000</f>
        <v>1440000</v>
      </c>
      <c r="J41" s="8">
        <f t="shared" ref="J41:Q41" si="16">1*12*120*1000</f>
        <v>1440000</v>
      </c>
      <c r="K41" s="8">
        <f t="shared" si="16"/>
        <v>1440000</v>
      </c>
      <c r="L41" s="15">
        <f t="shared" si="16"/>
        <v>1440000</v>
      </c>
      <c r="M41" s="15">
        <f t="shared" si="16"/>
        <v>1440000</v>
      </c>
      <c r="N41" s="8">
        <f t="shared" si="16"/>
        <v>1440000</v>
      </c>
      <c r="O41" s="8">
        <f t="shared" si="16"/>
        <v>1440000</v>
      </c>
      <c r="P41" s="8">
        <f t="shared" si="16"/>
        <v>1440000</v>
      </c>
      <c r="Q41" s="8">
        <f t="shared" si="16"/>
        <v>1440000</v>
      </c>
    </row>
    <row r="42" spans="1:17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8" t="s">
        <v>16</v>
      </c>
      <c r="Q42" s="8" t="s">
        <v>16</v>
      </c>
    </row>
    <row r="43" spans="1:17">
      <c r="A43" s="7" t="s">
        <v>71</v>
      </c>
      <c r="B43" s="15">
        <f t="shared" ref="B43:G43" si="17">B39+10*LOG10(B41)</f>
        <v>-107.41637507904753</v>
      </c>
      <c r="C43" s="15">
        <f t="shared" si="17"/>
        <v>-107.41637507904753</v>
      </c>
      <c r="D43" s="15">
        <f t="shared" si="17"/>
        <v>-105.41637507904753</v>
      </c>
      <c r="E43" s="15">
        <f t="shared" si="17"/>
        <v>-105.41637507904753</v>
      </c>
      <c r="F43" s="73">
        <f t="shared" si="17"/>
        <v>-107.41637507904753</v>
      </c>
      <c r="G43" s="73">
        <f t="shared" si="17"/>
        <v>-107.41637507904753</v>
      </c>
      <c r="H43" s="15">
        <f t="shared" ref="H43:M43" si="18">H39+10*LOG10(H41)</f>
        <v>-104.76363733200461</v>
      </c>
      <c r="I43" s="15">
        <f t="shared" si="18"/>
        <v>-104.76363733200461</v>
      </c>
      <c r="J43" s="8">
        <f t="shared" si="18"/>
        <v>-106.42288556108485</v>
      </c>
      <c r="K43" s="8">
        <f t="shared" si="18"/>
        <v>-106.42288556108485</v>
      </c>
      <c r="L43" s="15">
        <f t="shared" si="18"/>
        <v>-107.41637507904753</v>
      </c>
      <c r="M43" s="15">
        <f t="shared" si="18"/>
        <v>-107.41637507904753</v>
      </c>
      <c r="N43" s="8">
        <f>N39+10*LOG10(N41)</f>
        <v>-107.41637507904753</v>
      </c>
      <c r="O43" s="8">
        <f>O39+10*LOG10(O41)</f>
        <v>-107.41637507904753</v>
      </c>
      <c r="P43" s="8">
        <f t="shared" ref="P43:Q43" si="19">P39+10*LOG10(P41)</f>
        <v>-107.41637507904753</v>
      </c>
      <c r="Q43" s="8">
        <f t="shared" si="19"/>
        <v>-107.41637507904753</v>
      </c>
    </row>
    <row r="44" spans="1:17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</row>
    <row r="45" spans="1:17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  <c r="P45" s="92">
        <v>-4.8</v>
      </c>
      <c r="Q45" s="92">
        <v>-4.8</v>
      </c>
    </row>
    <row r="46" spans="1:17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8" t="s">
        <v>16</v>
      </c>
      <c r="Q46" s="8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</row>
    <row r="50" spans="1:17" ht="28">
      <c r="A50" s="7" t="s">
        <v>80</v>
      </c>
      <c r="B50" s="15">
        <f t="shared" ref="B50:G50" si="20">B43+B45+B47-B48</f>
        <v>-112.71637507904752</v>
      </c>
      <c r="C50" s="15">
        <f t="shared" si="20"/>
        <v>-112.41637507904753</v>
      </c>
      <c r="D50" s="15">
        <f t="shared" si="20"/>
        <v>-106.86637507904753</v>
      </c>
      <c r="E50" s="15">
        <f t="shared" si="20"/>
        <v>-106.86637507904753</v>
      </c>
      <c r="F50" s="73">
        <f t="shared" si="20"/>
        <v>-103.94637507904753</v>
      </c>
      <c r="G50" s="73">
        <f t="shared" si="20"/>
        <v>-103.94637507904753</v>
      </c>
      <c r="H50" s="15">
        <f t="shared" ref="H50:M50" si="21">H43+H45+H47-H48</f>
        <v>-108.8636373320046</v>
      </c>
      <c r="I50" s="15">
        <f t="shared" si="21"/>
        <v>-108.8636373320046</v>
      </c>
      <c r="J50" s="8">
        <f t="shared" si="21"/>
        <v>-104.42288556108485</v>
      </c>
      <c r="K50" s="8">
        <f t="shared" si="21"/>
        <v>-104.42288556108485</v>
      </c>
      <c r="L50" s="15">
        <f t="shared" si="21"/>
        <v>-102.49637507904752</v>
      </c>
      <c r="M50" s="15">
        <f t="shared" si="21"/>
        <v>-102.49637507904752</v>
      </c>
      <c r="N50" s="8">
        <f>N43+N45+N47-N48</f>
        <v>-108.43637507904752</v>
      </c>
      <c r="O50" s="8">
        <f>O43+O45+O47-O48</f>
        <v>-108.43637507904752</v>
      </c>
      <c r="P50" s="8">
        <f t="shared" ref="P50:Q50" si="22">P43+P45+P47-P48</f>
        <v>-110.21637507904752</v>
      </c>
      <c r="Q50" s="8">
        <f t="shared" si="22"/>
        <v>-110.21637507904752</v>
      </c>
    </row>
    <row r="51" spans="1:17" ht="28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  <c r="P51" s="8" t="s">
        <v>16</v>
      </c>
      <c r="Q51" s="8" t="s">
        <v>16</v>
      </c>
    </row>
    <row r="52" spans="1:17" ht="28">
      <c r="A52" s="26" t="s">
        <v>83</v>
      </c>
      <c r="B52" s="39">
        <f t="shared" ref="B52:G52" si="23">B25+B30+B33-B34-B50</f>
        <v>157.79877473216601</v>
      </c>
      <c r="C52" s="39">
        <f t="shared" si="23"/>
        <v>157.49877473216603</v>
      </c>
      <c r="D52" s="39">
        <f t="shared" si="23"/>
        <v>157.47877473216602</v>
      </c>
      <c r="E52" s="39">
        <f t="shared" si="23"/>
        <v>157.47877473216602</v>
      </c>
      <c r="F52" s="76">
        <f t="shared" si="23"/>
        <v>160.02877473216603</v>
      </c>
      <c r="G52" s="76">
        <f t="shared" si="23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Q52" si="24">J25+J30+J33-J34-J50</f>
        <v>160.50528521420335</v>
      </c>
      <c r="K52" s="39">
        <f t="shared" si="24"/>
        <v>160.50528521420335</v>
      </c>
      <c r="L52" s="39">
        <f t="shared" si="24"/>
        <v>158.57877473216604</v>
      </c>
      <c r="M52" s="39">
        <f t="shared" si="24"/>
        <v>158.57877473216604</v>
      </c>
      <c r="N52" s="39">
        <f t="shared" si="24"/>
        <v>150.51877473216604</v>
      </c>
      <c r="O52" s="39">
        <f t="shared" si="24"/>
        <v>150.51877473216604</v>
      </c>
      <c r="P52" s="39">
        <f t="shared" si="24"/>
        <v>166.29877473216601</v>
      </c>
      <c r="Q52" s="39">
        <f t="shared" si="24"/>
        <v>166.29877473216601</v>
      </c>
    </row>
    <row r="53" spans="1:17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</row>
    <row r="56" spans="1:17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</row>
    <row r="57" spans="1:17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</row>
    <row r="58" spans="1:17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</row>
    <row r="60" spans="1:17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28">
      <c r="A61" s="26" t="s">
        <v>110</v>
      </c>
      <c r="B61" s="39">
        <f t="shared" ref="B61:G61" si="25">B52-B56+B58-B59+B60</f>
        <v>157.79877473216601</v>
      </c>
      <c r="C61" s="39">
        <f t="shared" si="25"/>
        <v>157.49877473216603</v>
      </c>
      <c r="D61" s="39">
        <f t="shared" si="25"/>
        <v>157.47877473216602</v>
      </c>
      <c r="E61" s="39">
        <f t="shared" si="25"/>
        <v>157.47877473216602</v>
      </c>
      <c r="F61" s="76">
        <f t="shared" si="25"/>
        <v>160.02877473216603</v>
      </c>
      <c r="G61" s="76">
        <f t="shared" si="25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Q61" si="26">J52-J56+J58-J59+J60</f>
        <v>152.02528521420336</v>
      </c>
      <c r="K61" s="39">
        <f t="shared" si="26"/>
        <v>152.02528521420336</v>
      </c>
      <c r="L61" s="39">
        <f t="shared" si="26"/>
        <v>158.57877473216604</v>
      </c>
      <c r="M61" s="39">
        <f t="shared" si="26"/>
        <v>158.57877473216604</v>
      </c>
      <c r="N61" s="39">
        <f t="shared" si="26"/>
        <v>150.51877473216604</v>
      </c>
      <c r="O61" s="39">
        <f t="shared" si="26"/>
        <v>150.51877473216604</v>
      </c>
      <c r="P61" s="39">
        <f t="shared" si="26"/>
        <v>166.29877473216601</v>
      </c>
      <c r="Q61" s="39">
        <f t="shared" si="26"/>
        <v>166.29877473216601</v>
      </c>
    </row>
    <row r="62" spans="1:17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</row>
    <row r="63" spans="1:17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  <c r="P63" s="101"/>
      <c r="Q63" s="101"/>
    </row>
    <row r="64" spans="1:17">
      <c r="A64" s="26" t="s">
        <v>97</v>
      </c>
      <c r="B64" s="39">
        <f t="shared" ref="B64:G64" si="27">B17+B22-B50+B21+B33</f>
        <v>124.71637507904752</v>
      </c>
      <c r="C64" s="39">
        <f t="shared" si="27"/>
        <v>124.41637507904753</v>
      </c>
      <c r="D64" s="39">
        <f t="shared" si="27"/>
        <v>129.86637507904754</v>
      </c>
      <c r="E64" s="39">
        <f t="shared" si="27"/>
        <v>129.86637507904754</v>
      </c>
      <c r="F64" s="76">
        <f t="shared" si="27"/>
        <v>126.94637507904753</v>
      </c>
      <c r="G64" s="76">
        <f t="shared" si="27"/>
        <v>126.94637507904753</v>
      </c>
      <c r="H64" s="39">
        <f t="shared" ref="H64:M64" si="28">H17+H22-H50+H21+H33</f>
        <v>120.8636373320046</v>
      </c>
      <c r="I64" s="39">
        <f t="shared" si="28"/>
        <v>120.8636373320046</v>
      </c>
      <c r="J64" s="39">
        <f t="shared" si="28"/>
        <v>127.42288556108485</v>
      </c>
      <c r="K64" s="39">
        <f t="shared" si="28"/>
        <v>127.42288556108485</v>
      </c>
      <c r="L64" s="39">
        <f t="shared" si="28"/>
        <v>125.49637507904752</v>
      </c>
      <c r="M64" s="39">
        <f t="shared" si="28"/>
        <v>125.49637507904752</v>
      </c>
      <c r="N64" s="39">
        <f>N17+N22-N50+N21+N33</f>
        <v>131.43637507904754</v>
      </c>
      <c r="O64" s="39">
        <f>O17+O22-O50+O21+O33</f>
        <v>131.43637507904754</v>
      </c>
      <c r="P64" s="39">
        <f t="shared" ref="P64:Q64" si="29">P17+P22-P50+P21+P33</f>
        <v>133.21637507904751</v>
      </c>
      <c r="Q64" s="39">
        <f t="shared" si="29"/>
        <v>133.21637507904751</v>
      </c>
    </row>
    <row r="65" spans="1:17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  <c r="P65" s="100" t="s">
        <v>16</v>
      </c>
      <c r="Q65" s="100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N1" sqref="N1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80" customWidth="1"/>
    <col min="7" max="7" width="17.1640625" style="1" customWidth="1"/>
    <col min="8" max="8" width="14.6640625" style="1" bestFit="1" customWidth="1"/>
    <col min="9" max="9" width="17.33203125" style="1" bestFit="1" customWidth="1"/>
    <col min="10" max="10" width="17.83203125" style="2" customWidth="1"/>
    <col min="11" max="11" width="17.1640625" style="1" customWidth="1"/>
    <col min="12" max="12" width="17.83203125" style="2" customWidth="1"/>
    <col min="13" max="13" width="17.08203125" style="1" customWidth="1"/>
    <col min="14" max="16384" width="9" style="1"/>
  </cols>
  <sheetData>
    <row r="1" spans="1:13" ht="14.25" customHeight="1">
      <c r="A1" s="3"/>
      <c r="B1" s="112" t="s">
        <v>101</v>
      </c>
      <c r="C1" s="112"/>
      <c r="D1" s="112" t="s">
        <v>102</v>
      </c>
      <c r="E1" s="112"/>
      <c r="F1" s="118" t="s">
        <v>119</v>
      </c>
      <c r="G1" s="118"/>
      <c r="H1" s="112" t="s">
        <v>125</v>
      </c>
      <c r="I1" s="112"/>
      <c r="J1" s="112" t="s">
        <v>127</v>
      </c>
      <c r="K1" s="112"/>
      <c r="L1" s="112" t="s">
        <v>128</v>
      </c>
      <c r="M1" s="112"/>
    </row>
    <row r="2" spans="1:13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</row>
    <row r="3" spans="1:1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</row>
    <row r="6" spans="1:13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</row>
    <row r="7" spans="1:13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</row>
    <row r="8" spans="1:13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</row>
    <row r="9" spans="1:13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</row>
    <row r="10" spans="1:13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</row>
    <row r="11" spans="1:13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</row>
    <row r="12" spans="1:1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</row>
    <row r="13" spans="1:13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</row>
    <row r="14" spans="1:13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</row>
    <row r="15" spans="1:13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</row>
    <row r="16" spans="1:13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</row>
    <row r="17" spans="1:13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M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</row>
    <row r="18" spans="1:13" ht="42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M18" si="3">H19+10*LOG10(H12/H14)-H20</f>
        <v>11.020599913279625</v>
      </c>
      <c r="I18" s="15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</row>
    <row r="19" spans="1:13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</row>
    <row r="20" spans="1:13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</row>
    <row r="21" spans="1:1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M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</row>
    <row r="26" spans="1:13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</row>
    <row r="27" spans="1:13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</row>
    <row r="28" spans="1:13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</row>
    <row r="29" spans="1:13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</row>
    <row r="30" spans="1:13" ht="42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</row>
    <row r="31" spans="1:13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</row>
    <row r="33" spans="1:13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</row>
    <row r="34" spans="1:13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</row>
    <row r="38" spans="1:13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</row>
    <row r="39" spans="1:13" ht="28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15">
        <f t="shared" si="9"/>
        <v>-169.00000000000003</v>
      </c>
      <c r="K39" s="15">
        <f t="shared" si="9"/>
        <v>-169.00000000000003</v>
      </c>
      <c r="L39" s="8">
        <f t="shared" si="9"/>
        <v>-169.00000000000003</v>
      </c>
      <c r="M39" s="8">
        <f t="shared" si="9"/>
        <v>-169.00000000000003</v>
      </c>
    </row>
    <row r="40" spans="1:13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</row>
    <row r="41" spans="1:13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15">
        <f t="shared" ref="J41:M41" si="11">1*12*120*1000</f>
        <v>1440000</v>
      </c>
      <c r="K41" s="15">
        <f t="shared" si="11"/>
        <v>1440000</v>
      </c>
      <c r="L41" s="8">
        <f t="shared" si="11"/>
        <v>1440000</v>
      </c>
      <c r="M41" s="8">
        <f t="shared" si="11"/>
        <v>1440000</v>
      </c>
    </row>
    <row r="42" spans="1:13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</row>
    <row r="43" spans="1:13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15">
        <f t="shared" si="13"/>
        <v>-107.41637507904753</v>
      </c>
      <c r="K43" s="15">
        <f t="shared" si="13"/>
        <v>-107.41637507904753</v>
      </c>
      <c r="L43" s="8">
        <f t="shared" si="13"/>
        <v>-107.41637507904753</v>
      </c>
      <c r="M43" s="8">
        <f t="shared" si="13"/>
        <v>-107.41637507904753</v>
      </c>
    </row>
    <row r="44" spans="1:13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</row>
    <row r="45" spans="1:13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</row>
    <row r="46" spans="1:13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</row>
    <row r="50" spans="1:13" ht="28">
      <c r="A50" s="7" t="s">
        <v>80</v>
      </c>
      <c r="B50" s="15">
        <f t="shared" ref="B50:G50" si="14">B43+B45+B47-B48</f>
        <v>-108.71637507904752</v>
      </c>
      <c r="C50" s="15">
        <f t="shared" si="14"/>
        <v>-108.81637507904753</v>
      </c>
      <c r="D50" s="15">
        <f t="shared" si="14"/>
        <v>-102.51637507904752</v>
      </c>
      <c r="E50" s="15">
        <f t="shared" si="14"/>
        <v>-102.51637507904752</v>
      </c>
      <c r="F50" s="73">
        <f t="shared" si="14"/>
        <v>-103.61637507904753</v>
      </c>
      <c r="G50" s="73">
        <f t="shared" si="14"/>
        <v>-103.61637507904753</v>
      </c>
      <c r="H50" s="15">
        <f t="shared" ref="H50:M50" si="15">H43+H45+H47-H48</f>
        <v>-107.1736373320046</v>
      </c>
      <c r="I50" s="15">
        <f t="shared" si="15"/>
        <v>-107.1736373320046</v>
      </c>
      <c r="J50" s="15">
        <f t="shared" si="15"/>
        <v>-107.89637507904753</v>
      </c>
      <c r="K50" s="15">
        <f t="shared" si="15"/>
        <v>-107.89637507904753</v>
      </c>
      <c r="L50" s="8">
        <f t="shared" si="15"/>
        <v>-108.78637507904753</v>
      </c>
      <c r="M50" s="8">
        <f t="shared" si="15"/>
        <v>-108.45637507904753</v>
      </c>
    </row>
    <row r="51" spans="1:13" ht="28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</row>
    <row r="52" spans="1:13" ht="28">
      <c r="A52" s="26" t="s">
        <v>83</v>
      </c>
      <c r="B52" s="39">
        <f t="shared" ref="B52:G52" si="16">B25+B30+B33-B34-B50</f>
        <v>153.79877473216601</v>
      </c>
      <c r="C52" s="39">
        <f t="shared" si="16"/>
        <v>153.89877473216603</v>
      </c>
      <c r="D52" s="39">
        <f t="shared" si="16"/>
        <v>153.12877473216602</v>
      </c>
      <c r="E52" s="39">
        <f t="shared" si="16"/>
        <v>153.12877473216602</v>
      </c>
      <c r="F52" s="76">
        <f t="shared" si="16"/>
        <v>159.69877473216604</v>
      </c>
      <c r="G52" s="76">
        <f t="shared" si="16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M52" si="17">J25+J30+J33-J34-J50</f>
        <v>163.97877473216602</v>
      </c>
      <c r="K52" s="39">
        <f t="shared" si="17"/>
        <v>163.97877473216602</v>
      </c>
      <c r="L52" s="39">
        <f t="shared" si="17"/>
        <v>150.86877473216603</v>
      </c>
      <c r="M52" s="39">
        <f t="shared" si="17"/>
        <v>150.53877473216602</v>
      </c>
    </row>
    <row r="53" spans="1:13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</row>
    <row r="54" spans="1:13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</row>
    <row r="55" spans="1:1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</row>
    <row r="56" spans="1:13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</row>
    <row r="57" spans="1:13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</row>
    <row r="58" spans="1:13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</row>
    <row r="60" spans="1:13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">
      <c r="A61" s="26" t="s">
        <v>110</v>
      </c>
      <c r="B61" s="39">
        <f t="shared" ref="B61:G61" si="18">B52-B56+B58-B59+B60</f>
        <v>153.79877473216601</v>
      </c>
      <c r="C61" s="39">
        <f t="shared" si="18"/>
        <v>153.89877473216603</v>
      </c>
      <c r="D61" s="39">
        <f t="shared" si="18"/>
        <v>153.12877473216602</v>
      </c>
      <c r="E61" s="39">
        <f t="shared" si="18"/>
        <v>153.12877473216602</v>
      </c>
      <c r="F61" s="76">
        <f t="shared" si="18"/>
        <v>159.69877473216604</v>
      </c>
      <c r="G61" s="76">
        <f t="shared" si="18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M61" si="19">J52-J56+J58-J59+J60</f>
        <v>163.97877473216602</v>
      </c>
      <c r="K61" s="39">
        <f t="shared" si="19"/>
        <v>163.97877473216602</v>
      </c>
      <c r="L61" s="39">
        <f t="shared" si="19"/>
        <v>150.86877473216603</v>
      </c>
      <c r="M61" s="39">
        <f t="shared" si="19"/>
        <v>150.53877473216602</v>
      </c>
    </row>
    <row r="62" spans="1:13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</row>
    <row r="63" spans="1:13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</row>
    <row r="64" spans="1:13">
      <c r="A64" s="26" t="s">
        <v>97</v>
      </c>
      <c r="B64" s="39">
        <f t="shared" ref="B64:G64" si="20">B17+B22-B50+B21+B33</f>
        <v>120.71637507904752</v>
      </c>
      <c r="C64" s="39">
        <f t="shared" si="20"/>
        <v>120.81637507904753</v>
      </c>
      <c r="D64" s="39">
        <f t="shared" si="20"/>
        <v>125.51637507904752</v>
      </c>
      <c r="E64" s="39">
        <f t="shared" si="20"/>
        <v>125.51637507904752</v>
      </c>
      <c r="F64" s="76">
        <f t="shared" si="20"/>
        <v>126.61637507904753</v>
      </c>
      <c r="G64" s="76">
        <f t="shared" si="20"/>
        <v>126.61637507904753</v>
      </c>
      <c r="H64" s="27">
        <f t="shared" ref="H64:M64" si="21">H17+H22-H50+H21+H33</f>
        <v>119.1736373320046</v>
      </c>
      <c r="I64" s="27">
        <f t="shared" si="21"/>
        <v>119.1736373320046</v>
      </c>
      <c r="J64" s="39">
        <f t="shared" si="21"/>
        <v>130.89637507904752</v>
      </c>
      <c r="K64" s="39">
        <f t="shared" si="21"/>
        <v>130.89637507904752</v>
      </c>
      <c r="L64" s="39">
        <f t="shared" si="21"/>
        <v>131.78637507904753</v>
      </c>
      <c r="M64" s="39">
        <f t="shared" si="21"/>
        <v>131.45637507904752</v>
      </c>
    </row>
    <row r="65" spans="1:13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5"/>
  <sheetViews>
    <sheetView workbookViewId="0">
      <pane xSplit="1" ySplit="1" topLeftCell="L52" activePane="bottomRight" state="frozen"/>
      <selection pane="topRight"/>
      <selection pane="bottomLeft"/>
      <selection pane="bottomRight" activeCell="Q4" sqref="Q4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80" customWidth="1"/>
    <col min="7" max="7" width="17.1640625" style="1" customWidth="1"/>
    <col min="8" max="8" width="14.6640625" style="1" bestFit="1" customWidth="1"/>
    <col min="9" max="9" width="17.33203125" style="1" bestFit="1" customWidth="1"/>
    <col min="10" max="10" width="17.83203125" style="2" customWidth="1"/>
    <col min="11" max="11" width="17.1640625" style="1" customWidth="1"/>
    <col min="12" max="12" width="17.83203125" style="2" customWidth="1"/>
    <col min="13" max="13" width="17.08203125" style="1" customWidth="1"/>
    <col min="14" max="14" width="15.08203125" style="1" customWidth="1"/>
    <col min="15" max="15" width="15" style="1" customWidth="1"/>
    <col min="16" max="16384" width="9" style="1"/>
  </cols>
  <sheetData>
    <row r="1" spans="1:15" ht="14.25" customHeight="1">
      <c r="A1" s="3"/>
      <c r="B1" s="112" t="s">
        <v>101</v>
      </c>
      <c r="C1" s="112"/>
      <c r="D1" s="112" t="s">
        <v>102</v>
      </c>
      <c r="E1" s="112"/>
      <c r="F1" s="118" t="s">
        <v>119</v>
      </c>
      <c r="G1" s="118"/>
      <c r="H1" s="112" t="s">
        <v>122</v>
      </c>
      <c r="I1" s="112"/>
      <c r="J1" s="112" t="s">
        <v>126</v>
      </c>
      <c r="K1" s="112"/>
      <c r="L1" s="112" t="s">
        <v>128</v>
      </c>
      <c r="M1" s="112"/>
      <c r="N1" s="112" t="s">
        <v>129</v>
      </c>
      <c r="O1" s="112"/>
    </row>
    <row r="2" spans="1:15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  <c r="N2" s="31" t="s">
        <v>112</v>
      </c>
      <c r="O2" s="104" t="s">
        <v>113</v>
      </c>
    </row>
    <row r="3" spans="1: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  <c r="N5" s="99" t="s">
        <v>16</v>
      </c>
      <c r="O5" s="99" t="s">
        <v>16</v>
      </c>
    </row>
    <row r="6" spans="1: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  <c r="N6" s="99" t="s">
        <v>16</v>
      </c>
      <c r="O6" s="99" t="s">
        <v>16</v>
      </c>
    </row>
    <row r="7" spans="1: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</row>
    <row r="8" spans="1: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  <c r="N8" s="99" t="s">
        <v>16</v>
      </c>
      <c r="O8" s="99" t="s">
        <v>16</v>
      </c>
    </row>
    <row r="9" spans="1: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</row>
    <row r="13" spans="1: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</row>
    <row r="14" spans="1: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</row>
    <row r="15" spans="1: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8" t="s">
        <v>16</v>
      </c>
      <c r="O15" s="8" t="s">
        <v>16</v>
      </c>
    </row>
    <row r="16" spans="1: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</row>
    <row r="17" spans="1:15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O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si="1"/>
        <v>23</v>
      </c>
      <c r="O17" s="8">
        <f t="shared" si="1"/>
        <v>23</v>
      </c>
    </row>
    <row r="18" spans="1:15" ht="42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O18" si="3">H19+10*LOG10(H12/H14)-H20</f>
        <v>11.020599913279625</v>
      </c>
      <c r="I18" s="15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 t="shared" si="3"/>
        <v>11.020599913279625</v>
      </c>
      <c r="O18" s="8">
        <f t="shared" si="3"/>
        <v>11.020599913279625</v>
      </c>
    </row>
    <row r="19" spans="1: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</row>
    <row r="20" spans="1:1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</row>
    <row r="21" spans="1:1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O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 t="shared" si="5"/>
        <v>33.020599913279625</v>
      </c>
      <c r="O25" s="8">
        <f t="shared" si="5"/>
        <v>33.020599913279625</v>
      </c>
    </row>
    <row r="26" spans="1: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</row>
    <row r="28" spans="1: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  <c r="N28" s="8">
        <v>128</v>
      </c>
      <c r="O28" s="8">
        <v>128</v>
      </c>
    </row>
    <row r="29" spans="1: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  <c r="N29" s="8">
        <v>2</v>
      </c>
      <c r="O29" s="8">
        <v>2</v>
      </c>
    </row>
    <row r="30" spans="1:15" ht="42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O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 t="shared" si="7"/>
        <v>26.061799739838872</v>
      </c>
      <c r="O30" s="8">
        <f t="shared" si="7"/>
        <v>26.061799739838872</v>
      </c>
    </row>
    <row r="31" spans="1: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2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</row>
    <row r="33" spans="1:15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</row>
    <row r="34" spans="1:15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-174.9</v>
      </c>
      <c r="O37" s="86">
        <v>-174.9</v>
      </c>
    </row>
    <row r="38" spans="1: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8" t="s">
        <v>16</v>
      </c>
      <c r="O38" s="8" t="s">
        <v>16</v>
      </c>
    </row>
    <row r="39" spans="1:15" ht="28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O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8">
        <f t="shared" si="9"/>
        <v>-169.00000000000003</v>
      </c>
      <c r="M39" s="8">
        <f t="shared" si="9"/>
        <v>-169.00000000000003</v>
      </c>
      <c r="N39" s="8">
        <f t="shared" si="9"/>
        <v>-168.00651048203736</v>
      </c>
      <c r="O39" s="8">
        <f t="shared" si="9"/>
        <v>-168.00651048203736</v>
      </c>
    </row>
    <row r="40" spans="1:15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</row>
    <row r="41" spans="1:15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O41" si="11">1*12*120*1000</f>
        <v>1440000</v>
      </c>
      <c r="K41" s="8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</row>
    <row r="42" spans="1: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  <c r="N42" s="8" t="s">
        <v>16</v>
      </c>
      <c r="O42" s="8" t="s">
        <v>16</v>
      </c>
    </row>
    <row r="43" spans="1:15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O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8">
        <f t="shared" si="13"/>
        <v>-107.41637507904753</v>
      </c>
      <c r="M43" s="8">
        <f t="shared" si="13"/>
        <v>-107.41637507904753</v>
      </c>
      <c r="N43" s="8">
        <f t="shared" si="13"/>
        <v>-106.42288556108485</v>
      </c>
      <c r="O43" s="8">
        <f t="shared" si="13"/>
        <v>-106.42288556108485</v>
      </c>
    </row>
    <row r="44" spans="1: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</row>
    <row r="45" spans="1:15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  <c r="N45" s="88">
        <v>-0.17</v>
      </c>
      <c r="O45" s="88">
        <v>-0.17</v>
      </c>
    </row>
    <row r="46" spans="1: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  <c r="N46" s="8" t="s">
        <v>16</v>
      </c>
      <c r="O46" s="8" t="s">
        <v>16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</row>
    <row r="50" spans="1:15" ht="28">
      <c r="A50" s="7" t="s">
        <v>80</v>
      </c>
      <c r="B50" s="15">
        <f t="shared" ref="B50:G50" si="14">B43+B45+B47-B48</f>
        <v>-105.81637507904753</v>
      </c>
      <c r="C50" s="15">
        <f t="shared" si="14"/>
        <v>-105.31637507904753</v>
      </c>
      <c r="D50" s="15">
        <f t="shared" si="14"/>
        <v>-101.70637507904753</v>
      </c>
      <c r="E50" s="15">
        <f t="shared" si="14"/>
        <v>-101.70637507904753</v>
      </c>
      <c r="F50" s="73">
        <f t="shared" si="14"/>
        <v>-103.91637507904753</v>
      </c>
      <c r="G50" s="73">
        <f t="shared" si="14"/>
        <v>-103.91637507904753</v>
      </c>
      <c r="H50" s="15">
        <f t="shared" ref="H50:O50" si="15">H43+H45+H47-H48</f>
        <v>-103.8936373320046</v>
      </c>
      <c r="I50" s="15">
        <f t="shared" si="15"/>
        <v>-103.8936373320046</v>
      </c>
      <c r="J50" s="8">
        <f t="shared" si="15"/>
        <v>-102.79288556108486</v>
      </c>
      <c r="K50" s="8">
        <f t="shared" si="15"/>
        <v>-102.79288556108486</v>
      </c>
      <c r="L50" s="8">
        <f t="shared" si="15"/>
        <v>-106.32637507904752</v>
      </c>
      <c r="M50" s="8">
        <f t="shared" si="15"/>
        <v>-105.98637507904752</v>
      </c>
      <c r="N50" s="8">
        <f t="shared" si="15"/>
        <v>-104.59288556108486</v>
      </c>
      <c r="O50" s="8">
        <f t="shared" si="15"/>
        <v>-104.59288556108486</v>
      </c>
    </row>
    <row r="51" spans="1:15" ht="28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  <c r="N51" s="8" t="s">
        <v>16</v>
      </c>
      <c r="O51" s="8" t="s">
        <v>16</v>
      </c>
    </row>
    <row r="52" spans="1:15" ht="28">
      <c r="A52" s="26" t="s">
        <v>83</v>
      </c>
      <c r="B52" s="39">
        <f t="shared" ref="B52:G52" si="16">B25+B30+B33-B34-B50</f>
        <v>150.89877473216603</v>
      </c>
      <c r="C52" s="39">
        <f t="shared" si="16"/>
        <v>150.39877473216603</v>
      </c>
      <c r="D52" s="39">
        <f t="shared" si="16"/>
        <v>152.31877473216605</v>
      </c>
      <c r="E52" s="39">
        <f t="shared" si="16"/>
        <v>152.31877473216605</v>
      </c>
      <c r="F52" s="76">
        <f t="shared" si="16"/>
        <v>159.99877473216603</v>
      </c>
      <c r="G52" s="76">
        <f t="shared" si="16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O52" si="17">J25+J30+J33-J34-J50</f>
        <v>158.87528521420336</v>
      </c>
      <c r="K52" s="39">
        <f t="shared" si="17"/>
        <v>158.87528521420336</v>
      </c>
      <c r="L52" s="39">
        <f t="shared" si="17"/>
        <v>148.40877473216602</v>
      </c>
      <c r="M52" s="39">
        <f t="shared" si="17"/>
        <v>148.06877473216602</v>
      </c>
      <c r="N52" s="39">
        <f t="shared" si="17"/>
        <v>160.67528521420337</v>
      </c>
      <c r="O52" s="39">
        <f t="shared" si="17"/>
        <v>160.67528521420337</v>
      </c>
    </row>
    <row r="53" spans="1:15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8.0299999999999994</v>
      </c>
      <c r="O55" s="86">
        <v>8.0299999999999994</v>
      </c>
    </row>
    <row r="56" spans="1:15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8.48</v>
      </c>
      <c r="O56" s="86">
        <v>8.48</v>
      </c>
    </row>
    <row r="57" spans="1:15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</row>
    <row r="58" spans="1: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8">
      <c r="A61" s="26" t="s">
        <v>110</v>
      </c>
      <c r="B61" s="39">
        <f t="shared" ref="B61:G61" si="18">B52-B56+B58-B59+B60</f>
        <v>150.89877473216603</v>
      </c>
      <c r="C61" s="39">
        <f t="shared" si="18"/>
        <v>150.39877473216603</v>
      </c>
      <c r="D61" s="39">
        <f t="shared" si="18"/>
        <v>152.31877473216605</v>
      </c>
      <c r="E61" s="39">
        <f t="shared" si="18"/>
        <v>152.31877473216605</v>
      </c>
      <c r="F61" s="76">
        <f t="shared" si="18"/>
        <v>159.99877473216603</v>
      </c>
      <c r="G61" s="76">
        <f t="shared" si="18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O61" si="19">J52-J56+J58-J59+J60</f>
        <v>150.39528521420337</v>
      </c>
      <c r="K61" s="39">
        <f t="shared" si="19"/>
        <v>150.39528521420337</v>
      </c>
      <c r="L61" s="39">
        <f t="shared" si="19"/>
        <v>148.40877473216602</v>
      </c>
      <c r="M61" s="39">
        <f t="shared" si="19"/>
        <v>148.06877473216602</v>
      </c>
      <c r="N61" s="39">
        <f t="shared" si="19"/>
        <v>152.19528521420338</v>
      </c>
      <c r="O61" s="39">
        <f t="shared" si="19"/>
        <v>152.19528521420338</v>
      </c>
    </row>
    <row r="62" spans="1:15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</row>
    <row r="63" spans="1:15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  <c r="N63" s="101"/>
      <c r="O63" s="101"/>
    </row>
    <row r="64" spans="1:15">
      <c r="A64" s="26" t="s">
        <v>97</v>
      </c>
      <c r="B64" s="39">
        <f t="shared" ref="B64:G64" si="20">B17+B22-B50+B21+B33</f>
        <v>117.81637507904753</v>
      </c>
      <c r="C64" s="39">
        <f t="shared" si="20"/>
        <v>117.31637507904753</v>
      </c>
      <c r="D64" s="39">
        <f t="shared" si="20"/>
        <v>124.70637507904753</v>
      </c>
      <c r="E64" s="39">
        <f t="shared" si="20"/>
        <v>124.70637507904753</v>
      </c>
      <c r="F64" s="76">
        <f t="shared" si="20"/>
        <v>126.91637507904753</v>
      </c>
      <c r="G64" s="76">
        <f t="shared" si="20"/>
        <v>126.91637507904753</v>
      </c>
      <c r="H64" s="27">
        <f t="shared" ref="H64:O64" si="21">H17+H22-H50+H21+H33</f>
        <v>115.8936373320046</v>
      </c>
      <c r="I64" s="27">
        <f t="shared" si="21"/>
        <v>115.8936373320046</v>
      </c>
      <c r="J64" s="39">
        <f t="shared" si="21"/>
        <v>125.79288556108486</v>
      </c>
      <c r="K64" s="39">
        <f t="shared" si="21"/>
        <v>125.79288556108486</v>
      </c>
      <c r="L64" s="39">
        <f t="shared" si="21"/>
        <v>129.32637507904752</v>
      </c>
      <c r="M64" s="39">
        <f t="shared" si="21"/>
        <v>128.98637507904752</v>
      </c>
      <c r="N64" s="39">
        <f t="shared" si="21"/>
        <v>127.59288556108486</v>
      </c>
      <c r="O64" s="39">
        <f t="shared" si="21"/>
        <v>127.59288556108486</v>
      </c>
    </row>
    <row r="65" spans="1: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5"/>
  <sheetViews>
    <sheetView workbookViewId="0">
      <pane xSplit="1" ySplit="1" topLeftCell="Q2" activePane="bottomRight" state="frozen"/>
      <selection pane="topRight"/>
      <selection pane="bottomLeft"/>
      <selection pane="bottomRight" activeCell="T1" sqref="T1:U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7.75" style="1" customWidth="1"/>
    <col min="5" max="5" width="15.6640625" style="2" customWidth="1"/>
    <col min="6" max="6" width="17.75" style="1" customWidth="1"/>
    <col min="7" max="7" width="15.6640625" style="80" customWidth="1"/>
    <col min="8" max="9" width="17.75" style="1" customWidth="1"/>
    <col min="10" max="11" width="14.6640625" style="1" bestFit="1" customWidth="1"/>
    <col min="12" max="12" width="15.6640625" style="2" customWidth="1"/>
    <col min="13" max="13" width="17.75" style="1" customWidth="1"/>
    <col min="14" max="14" width="15.6640625" style="2" customWidth="1"/>
    <col min="15" max="16" width="17.75" style="1" customWidth="1"/>
    <col min="17" max="17" width="15.58203125" style="2" customWidth="1"/>
    <col min="18" max="20" width="17.75" style="1" customWidth="1"/>
    <col min="21" max="21" width="16.9140625" style="1" customWidth="1"/>
    <col min="22" max="16384" width="9" style="1"/>
  </cols>
  <sheetData>
    <row r="1" spans="1:21" ht="14.25" customHeight="1">
      <c r="A1" s="3"/>
      <c r="B1" s="109" t="s">
        <v>101</v>
      </c>
      <c r="C1" s="110"/>
      <c r="D1" s="111"/>
      <c r="E1" s="109" t="s">
        <v>102</v>
      </c>
      <c r="F1" s="110"/>
      <c r="G1" s="113" t="s">
        <v>119</v>
      </c>
      <c r="H1" s="114"/>
      <c r="I1" s="115"/>
      <c r="J1" s="109" t="s">
        <v>125</v>
      </c>
      <c r="K1" s="110"/>
      <c r="L1" s="109" t="s">
        <v>126</v>
      </c>
      <c r="M1" s="110"/>
      <c r="N1" s="109" t="s">
        <v>127</v>
      </c>
      <c r="O1" s="110"/>
      <c r="P1" s="111"/>
      <c r="Q1" s="109" t="s">
        <v>128</v>
      </c>
      <c r="R1" s="110"/>
      <c r="S1" s="111"/>
      <c r="T1" s="109" t="s">
        <v>129</v>
      </c>
      <c r="U1" s="110"/>
    </row>
    <row r="2" spans="1:21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  <c r="T2" s="5" t="s">
        <v>112</v>
      </c>
      <c r="U2" s="6" t="s">
        <v>114</v>
      </c>
    </row>
    <row r="3" spans="1:2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</row>
    <row r="6" spans="1:21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  <c r="T6" s="8">
        <v>5000000</v>
      </c>
      <c r="U6" s="8">
        <v>5000000</v>
      </c>
    </row>
    <row r="7" spans="1:21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</row>
    <row r="8" spans="1:21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  <c r="T8" s="43">
        <v>0.1</v>
      </c>
      <c r="U8" s="43">
        <v>0.1</v>
      </c>
    </row>
    <row r="9" spans="1:21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</row>
    <row r="10" spans="1:21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</row>
    <row r="11" spans="1:21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8">
        <v>4</v>
      </c>
      <c r="U12" s="8">
        <v>4</v>
      </c>
    </row>
    <row r="13" spans="1:21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  <c r="T13" s="8">
        <v>2</v>
      </c>
      <c r="U13" s="8">
        <v>2</v>
      </c>
    </row>
    <row r="14" spans="1:21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</row>
    <row r="15" spans="1:21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  <c r="T15" s="8" t="s">
        <v>16</v>
      </c>
      <c r="U15" s="8" t="s">
        <v>16</v>
      </c>
    </row>
    <row r="16" spans="1:21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86">
        <v>23</v>
      </c>
      <c r="U16" s="86">
        <v>23</v>
      </c>
    </row>
    <row r="17" spans="1:21" ht="28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 t="shared" ref="N17:U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8">
        <f t="shared" si="2"/>
        <v>23</v>
      </c>
      <c r="S17" s="8">
        <f t="shared" si="2"/>
        <v>23</v>
      </c>
      <c r="T17" s="8">
        <f t="shared" si="2"/>
        <v>23</v>
      </c>
      <c r="U17" s="8">
        <f t="shared" si="2"/>
        <v>23</v>
      </c>
    </row>
    <row r="18" spans="1:21" ht="42">
      <c r="A18" s="16" t="s">
        <v>37</v>
      </c>
      <c r="B18" s="15">
        <f t="shared" ref="B18:F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15">
        <f t="shared" si="3"/>
        <v>11.020599913279625</v>
      </c>
      <c r="G18" s="73">
        <f t="shared" ref="G18:M18" si="4">G19+10*LOG10(G12/G14)-G20</f>
        <v>11.020599913279625</v>
      </c>
      <c r="H18" s="73">
        <f t="shared" si="4"/>
        <v>11.020599913279625</v>
      </c>
      <c r="I18" s="73">
        <f t="shared" si="4"/>
        <v>11.020599913279625</v>
      </c>
      <c r="J18" s="15">
        <f t="shared" si="4"/>
        <v>11.020599913279625</v>
      </c>
      <c r="K18" s="15">
        <f t="shared" si="4"/>
        <v>11.020599913279625</v>
      </c>
      <c r="L18" s="8">
        <f t="shared" si="4"/>
        <v>11.020599913279625</v>
      </c>
      <c r="M18" s="8">
        <f t="shared" si="4"/>
        <v>11.020599913279625</v>
      </c>
      <c r="N18" s="15">
        <f t="shared" ref="N18:U18" si="5">N19+10*LOG10(N12/N14)-N20</f>
        <v>11.020599913279625</v>
      </c>
      <c r="O18" s="15">
        <f t="shared" si="5"/>
        <v>11.020599913279625</v>
      </c>
      <c r="P18" s="15">
        <f t="shared" si="5"/>
        <v>11.020599913279625</v>
      </c>
      <c r="Q18" s="8">
        <f t="shared" si="5"/>
        <v>6.0205999132796251</v>
      </c>
      <c r="R18" s="8">
        <f t="shared" si="5"/>
        <v>6.0205999132796251</v>
      </c>
      <c r="S18" s="8">
        <f t="shared" si="5"/>
        <v>11.020599913279625</v>
      </c>
      <c r="T18" s="8">
        <f t="shared" si="5"/>
        <v>11.020599913279625</v>
      </c>
      <c r="U18" s="8">
        <f t="shared" si="5"/>
        <v>11.020599913279625</v>
      </c>
    </row>
    <row r="19" spans="1:2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8">
        <v>5</v>
      </c>
    </row>
    <row r="20" spans="1:21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  <c r="T20" s="86">
        <v>0</v>
      </c>
      <c r="U20" s="86">
        <v>0</v>
      </c>
    </row>
    <row r="21" spans="1:2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</row>
    <row r="26" spans="1:21">
      <c r="A26" s="7" t="s">
        <v>51</v>
      </c>
      <c r="B26" s="8">
        <f t="shared" ref="B26:F26" si="6">B17+B18+B21-B23-B24</f>
        <v>22.020599913279625</v>
      </c>
      <c r="C26" s="8">
        <f t="shared" si="6"/>
        <v>22.020599913279625</v>
      </c>
      <c r="D26" s="8">
        <f t="shared" si="6"/>
        <v>22.020599913279625</v>
      </c>
      <c r="E26" s="8">
        <f t="shared" si="6"/>
        <v>33.020599913279625</v>
      </c>
      <c r="F26" s="8">
        <f t="shared" si="6"/>
        <v>33.020599913279625</v>
      </c>
      <c r="G26" s="69">
        <f t="shared" ref="G26:M26" si="7">G17+G18+G21-G23-G24</f>
        <v>33.020599913279625</v>
      </c>
      <c r="H26" s="69">
        <f t="shared" si="7"/>
        <v>33.020599913279625</v>
      </c>
      <c r="I26" s="69">
        <f t="shared" si="7"/>
        <v>33.020599913279625</v>
      </c>
      <c r="J26" s="8">
        <f t="shared" si="7"/>
        <v>22.020599913279625</v>
      </c>
      <c r="K26" s="8">
        <f t="shared" si="7"/>
        <v>22.020599913279625</v>
      </c>
      <c r="L26" s="8">
        <f t="shared" si="7"/>
        <v>33.020599913279625</v>
      </c>
      <c r="M26" s="8">
        <f t="shared" si="7"/>
        <v>33.020599913279625</v>
      </c>
      <c r="N26" s="8">
        <f t="shared" ref="N26:U26" si="8">N17+N18+N21-N23-N24</f>
        <v>33.020599913279625</v>
      </c>
      <c r="O26" s="8">
        <f t="shared" si="8"/>
        <v>33.020599913279625</v>
      </c>
      <c r="P26" s="8">
        <f t="shared" si="8"/>
        <v>33.020599913279625</v>
      </c>
      <c r="Q26" s="8">
        <f t="shared" si="8"/>
        <v>28.020599913279625</v>
      </c>
      <c r="R26" s="8">
        <f t="shared" si="8"/>
        <v>28.020599913279625</v>
      </c>
      <c r="S26" s="8">
        <f t="shared" si="8"/>
        <v>33.020599913279625</v>
      </c>
      <c r="T26" s="8">
        <f t="shared" si="8"/>
        <v>33.020599913279625</v>
      </c>
      <c r="U26" s="8">
        <f t="shared" si="8"/>
        <v>33.020599913279625</v>
      </c>
    </row>
    <row r="27" spans="1:21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  <c r="T28" s="8">
        <v>128</v>
      </c>
      <c r="U28" s="8">
        <v>128</v>
      </c>
    </row>
    <row r="29" spans="1:21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  <c r="T29" s="8">
        <v>2</v>
      </c>
      <c r="U29" s="8">
        <v>2</v>
      </c>
    </row>
    <row r="30" spans="1:21" ht="42">
      <c r="A30" s="7" t="s">
        <v>55</v>
      </c>
      <c r="B30" s="15">
        <f t="shared" ref="B30:F30" si="9">B31+10*LOG10(B28/B13)-B32</f>
        <v>26.061799739838872</v>
      </c>
      <c r="C30" s="15">
        <f t="shared" si="9"/>
        <v>26.061799739838872</v>
      </c>
      <c r="D30" s="15">
        <f t="shared" si="9"/>
        <v>26.061799739838872</v>
      </c>
      <c r="E30" s="15">
        <f t="shared" si="9"/>
        <v>20.591799739838873</v>
      </c>
      <c r="F30" s="15">
        <f t="shared" si="9"/>
        <v>20.591799739838873</v>
      </c>
      <c r="G30" s="73">
        <f t="shared" ref="G30:M30" si="10">G31+10*LOG10(G28/G13)-G32</f>
        <v>26.061799739838872</v>
      </c>
      <c r="H30" s="73">
        <f t="shared" si="10"/>
        <v>26.061799739838872</v>
      </c>
      <c r="I30" s="73">
        <f t="shared" si="10"/>
        <v>26.061799739838872</v>
      </c>
      <c r="J30" s="15">
        <f t="shared" si="10"/>
        <v>26.061799739838872</v>
      </c>
      <c r="K30" s="15">
        <f t="shared" si="10"/>
        <v>26.061799739838872</v>
      </c>
      <c r="L30" s="8">
        <f t="shared" si="10"/>
        <v>26.061799739838872</v>
      </c>
      <c r="M30" s="8">
        <f t="shared" si="10"/>
        <v>26.061799739838872</v>
      </c>
      <c r="N30" s="15">
        <f t="shared" ref="N30:U30" si="11">N31+10*LOG10(N28/N13)-N32</f>
        <v>26.061799739838872</v>
      </c>
      <c r="O30" s="15">
        <f t="shared" si="11"/>
        <v>26.061799739838872</v>
      </c>
      <c r="P30" s="15">
        <f t="shared" si="11"/>
        <v>26.061799739838872</v>
      </c>
      <c r="Q30" s="8">
        <f t="shared" si="11"/>
        <v>17.061799739838872</v>
      </c>
      <c r="R30" s="8">
        <f t="shared" si="11"/>
        <v>17.061799739838872</v>
      </c>
      <c r="S30" s="8">
        <f t="shared" si="11"/>
        <v>17.061799739838872</v>
      </c>
      <c r="T30" s="8">
        <f t="shared" si="11"/>
        <v>26.061799739838872</v>
      </c>
      <c r="U30" s="8">
        <f t="shared" si="11"/>
        <v>26.061799739838872</v>
      </c>
    </row>
    <row r="31" spans="1:21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2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  <c r="T32" s="86">
        <v>0</v>
      </c>
      <c r="U32" s="86">
        <v>0</v>
      </c>
    </row>
    <row r="33" spans="1:21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</row>
    <row r="34" spans="1:21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16</v>
      </c>
    </row>
    <row r="38" spans="1:21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  <c r="T38" s="86">
        <v>-174.9</v>
      </c>
      <c r="U38" s="86">
        <v>-174.9</v>
      </c>
    </row>
    <row r="39" spans="1:21" ht="28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</row>
    <row r="40" spans="1:21" ht="28">
      <c r="A40" s="7" t="s">
        <v>109</v>
      </c>
      <c r="B40" s="15">
        <f t="shared" ref="B40:F40" si="12">10*LOG10(10^((B35+B36)/10)+10^(B38/10))</f>
        <v>-169.00000000000003</v>
      </c>
      <c r="C40" s="15">
        <f t="shared" si="12"/>
        <v>-169.00000000000003</v>
      </c>
      <c r="D40" s="15">
        <f t="shared" si="12"/>
        <v>-169.00000000000003</v>
      </c>
      <c r="E40" s="15">
        <f t="shared" si="12"/>
        <v>-167.00000000000003</v>
      </c>
      <c r="F40" s="15">
        <f t="shared" si="12"/>
        <v>-167.00000000000003</v>
      </c>
      <c r="G40" s="73">
        <f t="shared" ref="G40:M40" si="13">10*LOG10(10^((G35+G36)/10)+10^(G38/10))</f>
        <v>-169.00000000000003</v>
      </c>
      <c r="H40" s="73">
        <f t="shared" si="13"/>
        <v>-169.00000000000003</v>
      </c>
      <c r="I40" s="73">
        <f t="shared" si="13"/>
        <v>-169.00000000000003</v>
      </c>
      <c r="J40" s="15">
        <f t="shared" si="13"/>
        <v>-166.34726225295711</v>
      </c>
      <c r="K40" s="15">
        <f t="shared" si="13"/>
        <v>-166.34726225295711</v>
      </c>
      <c r="L40" s="8">
        <f t="shared" si="13"/>
        <v>-168.00651048203736</v>
      </c>
      <c r="M40" s="8">
        <f t="shared" si="13"/>
        <v>-168.00651048203736</v>
      </c>
      <c r="N40" s="15">
        <f t="shared" ref="N40:U40" si="14">10*LOG10(10^((N35+N36)/10)+10^(N38/10))</f>
        <v>-169.00000000000003</v>
      </c>
      <c r="O40" s="15">
        <f t="shared" si="14"/>
        <v>-169.00000000000003</v>
      </c>
      <c r="P40" s="15">
        <f t="shared" si="14"/>
        <v>-169.00000000000003</v>
      </c>
      <c r="Q40" s="8">
        <f t="shared" si="14"/>
        <v>-169.00000000000003</v>
      </c>
      <c r="R40" s="8">
        <f t="shared" si="14"/>
        <v>-169.00000000000003</v>
      </c>
      <c r="S40" s="8">
        <f t="shared" si="14"/>
        <v>-169.00000000000003</v>
      </c>
      <c r="T40" s="8">
        <f t="shared" si="14"/>
        <v>-168.00651048203736</v>
      </c>
      <c r="U40" s="8">
        <f t="shared" si="14"/>
        <v>-168.00651048203736</v>
      </c>
    </row>
    <row r="41" spans="1:21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  <c r="T41" s="8" t="s">
        <v>16</v>
      </c>
      <c r="U41" s="8" t="s">
        <v>16</v>
      </c>
    </row>
    <row r="42" spans="1:21">
      <c r="A42" s="21" t="s">
        <v>70</v>
      </c>
      <c r="B42" s="45">
        <f t="shared" ref="B42:F42" si="15">30*12*120*1000</f>
        <v>43200000</v>
      </c>
      <c r="C42" s="45">
        <f t="shared" si="15"/>
        <v>43200000</v>
      </c>
      <c r="D42" s="45">
        <f t="shared" si="15"/>
        <v>43200000</v>
      </c>
      <c r="E42" s="45">
        <f t="shared" si="15"/>
        <v>43200000</v>
      </c>
      <c r="F42" s="45">
        <f t="shared" si="15"/>
        <v>43200000</v>
      </c>
      <c r="G42" s="83">
        <f>66*12*120*1000</f>
        <v>95040000</v>
      </c>
      <c r="H42" s="83">
        <f t="shared" ref="H42" si="16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17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18">66*12*120*1000</f>
        <v>95040000</v>
      </c>
      <c r="S42" s="88">
        <f>32*12*120*1000</f>
        <v>46080000</v>
      </c>
      <c r="T42" s="88">
        <f>30*12*120*1000</f>
        <v>43200000</v>
      </c>
      <c r="U42" s="88">
        <f>30*12*120*1000</f>
        <v>43200000</v>
      </c>
    </row>
    <row r="43" spans="1:21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</row>
    <row r="44" spans="1:21">
      <c r="A44" s="7" t="s">
        <v>72</v>
      </c>
      <c r="B44" s="15">
        <f t="shared" ref="B44:F44" si="19">B40+10*LOG10(B42)</f>
        <v>-92.645162531850914</v>
      </c>
      <c r="C44" s="15">
        <f t="shared" si="19"/>
        <v>-92.645162531850914</v>
      </c>
      <c r="D44" s="15">
        <f t="shared" si="19"/>
        <v>-92.645162531850914</v>
      </c>
      <c r="E44" s="15">
        <f t="shared" si="19"/>
        <v>-90.645162531850914</v>
      </c>
      <c r="F44" s="15">
        <f t="shared" si="19"/>
        <v>-90.645162531850914</v>
      </c>
      <c r="G44" s="73">
        <f t="shared" ref="G44:M44" si="20">G40+10*LOG10(G42)</f>
        <v>-89.220935723628841</v>
      </c>
      <c r="H44" s="73">
        <f t="shared" si="20"/>
        <v>-89.220935723628841</v>
      </c>
      <c r="I44" s="73">
        <f t="shared" si="20"/>
        <v>-92.231235680268654</v>
      </c>
      <c r="J44" s="15">
        <f t="shared" si="20"/>
        <v>-89.992424784807994</v>
      </c>
      <c r="K44" s="15">
        <f t="shared" si="20"/>
        <v>-89.992424784807994</v>
      </c>
      <c r="L44" s="8">
        <f t="shared" si="20"/>
        <v>-91.651673013888242</v>
      </c>
      <c r="M44" s="8">
        <f t="shared" si="20"/>
        <v>-91.651673013888242</v>
      </c>
      <c r="N44" s="15">
        <f t="shared" ref="N44:U44" si="21">N40+10*LOG10(N42)</f>
        <v>-89.220935723628841</v>
      </c>
      <c r="O44" s="15">
        <f t="shared" si="21"/>
        <v>-89.220935723628841</v>
      </c>
      <c r="P44" s="15">
        <f t="shared" si="21"/>
        <v>-92.364875295848478</v>
      </c>
      <c r="Q44" s="8">
        <f t="shared" si="21"/>
        <v>-89.220935723628841</v>
      </c>
      <c r="R44" s="8">
        <f t="shared" si="21"/>
        <v>-89.220935723628841</v>
      </c>
      <c r="S44" s="8">
        <f t="shared" si="21"/>
        <v>-92.364875295848478</v>
      </c>
      <c r="T44" s="8">
        <f t="shared" si="21"/>
        <v>-91.651673013888242</v>
      </c>
      <c r="U44" s="8">
        <f t="shared" si="21"/>
        <v>-91.651673013888242</v>
      </c>
    </row>
    <row r="45" spans="1:21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  <c r="T45" s="8" t="s">
        <v>16</v>
      </c>
      <c r="U45" s="8" t="s">
        <v>16</v>
      </c>
    </row>
    <row r="46" spans="1:21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  <c r="T46" s="88">
        <v>2.37</v>
      </c>
      <c r="U46" s="88">
        <v>2.37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</row>
    <row r="51" spans="1:21" ht="28">
      <c r="A51" s="7" t="s">
        <v>82</v>
      </c>
      <c r="B51" s="15">
        <f t="shared" ref="B51:F51" si="22">B44+B46+B47-B49</f>
        <v>-88.245162531850909</v>
      </c>
      <c r="C51" s="15">
        <f t="shared" si="22"/>
        <v>-88.245162531850909</v>
      </c>
      <c r="D51" s="15">
        <f t="shared" si="22"/>
        <v>-88.145162531850914</v>
      </c>
      <c r="E51" s="15">
        <f t="shared" si="22"/>
        <v>-83.735162531850918</v>
      </c>
      <c r="F51" s="15">
        <f t="shared" si="22"/>
        <v>-83.735162531850918</v>
      </c>
      <c r="G51" s="73">
        <f t="shared" ref="G51:M51" si="23">G44+G46+G47-G49</f>
        <v>-85.780935723628843</v>
      </c>
      <c r="H51" s="73">
        <f t="shared" si="23"/>
        <v>-85.780935723628843</v>
      </c>
      <c r="I51" s="73">
        <f t="shared" si="23"/>
        <v>-88.741235680268659</v>
      </c>
      <c r="J51" s="15">
        <f t="shared" si="23"/>
        <v>-86.302424784807997</v>
      </c>
      <c r="K51" s="15">
        <f t="shared" si="23"/>
        <v>-86.302424784807997</v>
      </c>
      <c r="L51" s="8">
        <f t="shared" si="23"/>
        <v>-88.84167301388824</v>
      </c>
      <c r="M51" s="8">
        <f t="shared" si="23"/>
        <v>-88.84167301388824</v>
      </c>
      <c r="N51" s="15">
        <f t="shared" ref="N51:U51" si="24">N44+N46+N47-N49</f>
        <v>-91.240935723628837</v>
      </c>
      <c r="O51" s="15">
        <f t="shared" si="24"/>
        <v>-87.220935723628841</v>
      </c>
      <c r="P51" s="15">
        <f t="shared" si="24"/>
        <v>-89.834875295848477</v>
      </c>
      <c r="Q51" s="8">
        <f t="shared" si="24"/>
        <v>-96.620935723628847</v>
      </c>
      <c r="R51" s="8">
        <f t="shared" si="24"/>
        <v>-96.620935723628847</v>
      </c>
      <c r="S51" s="8">
        <f t="shared" si="24"/>
        <v>-96.564875295848481</v>
      </c>
      <c r="T51" s="8">
        <f t="shared" si="24"/>
        <v>-87.281673013888238</v>
      </c>
      <c r="U51" s="8">
        <f t="shared" si="24"/>
        <v>-87.281673013888238</v>
      </c>
    </row>
    <row r="52" spans="1:21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  <c r="T52" s="100" t="s">
        <v>16</v>
      </c>
      <c r="U52" s="100" t="s">
        <v>16</v>
      </c>
    </row>
    <row r="53" spans="1:21" ht="28">
      <c r="A53" s="26" t="s">
        <v>85</v>
      </c>
      <c r="B53" s="39">
        <f t="shared" ref="B53:I53" si="25">B26+B30+B33-B34-B51</f>
        <v>133.32756218496939</v>
      </c>
      <c r="C53" s="39">
        <f t="shared" si="25"/>
        <v>133.32756218496939</v>
      </c>
      <c r="D53" s="39">
        <f t="shared" si="25"/>
        <v>133.22756218496943</v>
      </c>
      <c r="E53" s="39">
        <f t="shared" si="25"/>
        <v>134.34756218496943</v>
      </c>
      <c r="F53" s="39">
        <f t="shared" si="25"/>
        <v>134.34756218496943</v>
      </c>
      <c r="G53" s="76">
        <f t="shared" si="25"/>
        <v>141.86333537674733</v>
      </c>
      <c r="H53" s="76">
        <f t="shared" si="25"/>
        <v>141.86333537674733</v>
      </c>
      <c r="I53" s="76">
        <f t="shared" si="25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U53" si="26">L26+L30+L33-L34-L51</f>
        <v>144.92407266700673</v>
      </c>
      <c r="M53" s="39">
        <f t="shared" si="26"/>
        <v>144.92407266700673</v>
      </c>
      <c r="N53" s="39">
        <f t="shared" si="26"/>
        <v>147.32333537674734</v>
      </c>
      <c r="O53" s="39">
        <f t="shared" si="26"/>
        <v>143.30333537674733</v>
      </c>
      <c r="P53" s="39">
        <f t="shared" si="26"/>
        <v>145.91727494896696</v>
      </c>
      <c r="Q53" s="39">
        <f t="shared" si="26"/>
        <v>138.70333537674736</v>
      </c>
      <c r="R53" s="39">
        <f t="shared" si="26"/>
        <v>138.70333537674736</v>
      </c>
      <c r="S53" s="39">
        <f t="shared" si="26"/>
        <v>143.64727494896698</v>
      </c>
      <c r="T53" s="39">
        <f t="shared" si="26"/>
        <v>143.36407266700672</v>
      </c>
      <c r="U53" s="39">
        <f t="shared" si="26"/>
        <v>143.36407266700672</v>
      </c>
    </row>
    <row r="54" spans="1:21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8.0299999999999994</v>
      </c>
      <c r="U55" s="86">
        <v>8.0299999999999994</v>
      </c>
    </row>
    <row r="56" spans="1:21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</row>
    <row r="57" spans="1:21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5.18</v>
      </c>
      <c r="U57" s="86">
        <v>5.18</v>
      </c>
    </row>
    <row r="58" spans="1:21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</row>
    <row r="60" spans="1:21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  <c r="T61" s="100" t="s">
        <v>16</v>
      </c>
      <c r="U61" s="100" t="s">
        <v>16</v>
      </c>
    </row>
    <row r="62" spans="1:21" ht="28">
      <c r="A62" s="26" t="s">
        <v>111</v>
      </c>
      <c r="B62" s="39">
        <f t="shared" ref="B62:I62" si="27">B53-B57+B58-B59+B60</f>
        <v>133.32756218496939</v>
      </c>
      <c r="C62" s="39">
        <f t="shared" si="27"/>
        <v>133.32756218496939</v>
      </c>
      <c r="D62" s="39">
        <f t="shared" si="27"/>
        <v>133.22756218496943</v>
      </c>
      <c r="E62" s="39">
        <f t="shared" si="27"/>
        <v>134.34756218496943</v>
      </c>
      <c r="F62" s="39">
        <f t="shared" si="27"/>
        <v>134.34756218496943</v>
      </c>
      <c r="G62" s="76">
        <f t="shared" si="27"/>
        <v>141.86333537674733</v>
      </c>
      <c r="H62" s="76">
        <f t="shared" si="27"/>
        <v>141.86333537674733</v>
      </c>
      <c r="I62" s="76">
        <f t="shared" si="27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U62" si="28">L53-L57+L58-L59+L60</f>
        <v>139.74407266700672</v>
      </c>
      <c r="M62" s="39">
        <f t="shared" si="28"/>
        <v>139.74407266700672</v>
      </c>
      <c r="N62" s="39">
        <f t="shared" si="28"/>
        <v>147.32333537674734</v>
      </c>
      <c r="O62" s="39">
        <f t="shared" si="28"/>
        <v>143.30333537674733</v>
      </c>
      <c r="P62" s="39">
        <f t="shared" si="28"/>
        <v>145.91727494896696</v>
      </c>
      <c r="Q62" s="39">
        <f t="shared" si="28"/>
        <v>138.70333537674736</v>
      </c>
      <c r="R62" s="39">
        <f t="shared" si="28"/>
        <v>138.70333537674736</v>
      </c>
      <c r="S62" s="39">
        <f t="shared" si="28"/>
        <v>143.64727494896698</v>
      </c>
      <c r="T62" s="39">
        <f t="shared" si="28"/>
        <v>138.18407266700672</v>
      </c>
      <c r="U62" s="39">
        <f t="shared" si="28"/>
        <v>138.18407266700672</v>
      </c>
    </row>
    <row r="63" spans="1:21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  <c r="T63" s="102"/>
      <c r="U63" s="102"/>
    </row>
    <row r="64" spans="1:21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  <c r="T64" s="100" t="s">
        <v>16</v>
      </c>
      <c r="U64" s="100" t="s">
        <v>16</v>
      </c>
    </row>
    <row r="65" spans="1:21">
      <c r="A65" s="26" t="s">
        <v>98</v>
      </c>
      <c r="B65" s="39">
        <f t="shared" ref="B65:I65" si="29">B17-B23-B51+B21+B33</f>
        <v>100.24516253185091</v>
      </c>
      <c r="C65" s="39">
        <f t="shared" si="29"/>
        <v>100.24516253185091</v>
      </c>
      <c r="D65" s="39">
        <f t="shared" si="29"/>
        <v>100.14516253185091</v>
      </c>
      <c r="E65" s="39">
        <f t="shared" si="29"/>
        <v>106.73516253185092</v>
      </c>
      <c r="F65" s="39">
        <f t="shared" si="29"/>
        <v>106.73516253185092</v>
      </c>
      <c r="G65" s="76">
        <f t="shared" si="29"/>
        <v>108.78093572362884</v>
      </c>
      <c r="H65" s="76">
        <f t="shared" si="29"/>
        <v>108.78093572362884</v>
      </c>
      <c r="I65" s="76">
        <f t="shared" si="29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U65" si="30">L17-L23-L51+L21+L33</f>
        <v>111.84167301388824</v>
      </c>
      <c r="M65" s="39">
        <f t="shared" si="30"/>
        <v>111.84167301388824</v>
      </c>
      <c r="N65" s="39">
        <f t="shared" si="30"/>
        <v>114.24093572362884</v>
      </c>
      <c r="O65" s="39">
        <f t="shared" si="30"/>
        <v>110.22093572362884</v>
      </c>
      <c r="P65" s="39">
        <f t="shared" si="30"/>
        <v>112.83487529584848</v>
      </c>
      <c r="Q65" s="39">
        <f t="shared" si="30"/>
        <v>119.62093572362885</v>
      </c>
      <c r="R65" s="39">
        <f t="shared" si="30"/>
        <v>119.62093572362885</v>
      </c>
      <c r="S65" s="39">
        <f t="shared" si="30"/>
        <v>119.56487529584848</v>
      </c>
      <c r="T65" s="39">
        <f t="shared" si="30"/>
        <v>110.28167301388824</v>
      </c>
      <c r="U65" s="39">
        <f t="shared" si="30"/>
        <v>110.28167301388824</v>
      </c>
    </row>
  </sheetData>
  <mergeCells count="8">
    <mergeCell ref="T1:U1"/>
    <mergeCell ref="Q1:S1"/>
    <mergeCell ref="N1:P1"/>
    <mergeCell ref="B1:D1"/>
    <mergeCell ref="E1:F1"/>
    <mergeCell ref="G1:I1"/>
    <mergeCell ref="J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5"/>
  <sheetViews>
    <sheetView workbookViewId="0">
      <pane xSplit="1" ySplit="1" topLeftCell="U2" activePane="bottomRight" state="frozen"/>
      <selection pane="topRight"/>
      <selection pane="bottomLeft"/>
      <selection pane="bottomRight" activeCell="Z1" sqref="Z1"/>
    </sheetView>
  </sheetViews>
  <sheetFormatPr defaultColWidth="9" defaultRowHeight="15"/>
  <cols>
    <col min="1" max="1" width="62.1640625" style="1" customWidth="1"/>
    <col min="2" max="2" width="15.6640625" style="2" customWidth="1"/>
    <col min="3" max="5" width="15.6640625" style="1" customWidth="1"/>
    <col min="6" max="6" width="15.6640625" style="2" customWidth="1"/>
    <col min="7" max="7" width="15.6640625" style="1" customWidth="1"/>
    <col min="8" max="8" width="15.6640625" style="80" customWidth="1"/>
    <col min="9" max="11" width="15.6640625" style="1" customWidth="1"/>
    <col min="12" max="13" width="14.7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9" width="15.6640625" style="1" customWidth="1"/>
    <col min="20" max="20" width="15.58203125" style="2" customWidth="1"/>
    <col min="21" max="23" width="15.58203125" style="1" customWidth="1"/>
    <col min="24" max="24" width="17.83203125" style="1" customWidth="1"/>
    <col min="25" max="25" width="14.75" style="1" customWidth="1"/>
    <col min="26" max="16384" width="9" style="1"/>
  </cols>
  <sheetData>
    <row r="1" spans="1:25" ht="14.25" customHeight="1">
      <c r="A1" s="3"/>
      <c r="B1" s="112" t="s">
        <v>101</v>
      </c>
      <c r="C1" s="112"/>
      <c r="D1" s="112"/>
      <c r="E1" s="112"/>
      <c r="F1" s="109" t="s">
        <v>102</v>
      </c>
      <c r="G1" s="111"/>
      <c r="H1" s="118" t="s">
        <v>119</v>
      </c>
      <c r="I1" s="118"/>
      <c r="J1" s="118"/>
      <c r="K1" s="118"/>
      <c r="L1" s="112" t="s">
        <v>125</v>
      </c>
      <c r="M1" s="112"/>
      <c r="N1" s="112" t="s">
        <v>126</v>
      </c>
      <c r="O1" s="112"/>
      <c r="P1" s="112" t="s">
        <v>127</v>
      </c>
      <c r="Q1" s="112"/>
      <c r="R1" s="112"/>
      <c r="S1" s="112"/>
      <c r="T1" s="112" t="s">
        <v>128</v>
      </c>
      <c r="U1" s="112"/>
      <c r="V1" s="112"/>
      <c r="W1" s="112"/>
      <c r="X1" s="116" t="s">
        <v>129</v>
      </c>
      <c r="Y1" s="117"/>
    </row>
    <row r="2" spans="1:25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  <c r="X6" s="99" t="s">
        <v>16</v>
      </c>
      <c r="Y6" s="99" t="s">
        <v>16</v>
      </c>
    </row>
    <row r="7" spans="1:2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  <c r="X7" s="43">
        <v>0.01</v>
      </c>
      <c r="Y7" s="43">
        <v>0.01</v>
      </c>
    </row>
    <row r="8" spans="1:2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  <c r="X8" s="99" t="s">
        <v>16</v>
      </c>
      <c r="Y8" s="99" t="s">
        <v>16</v>
      </c>
    </row>
    <row r="9" spans="1:25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</row>
    <row r="14" spans="1:2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</row>
    <row r="15" spans="1:2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</row>
    <row r="16" spans="1:2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3">X15+10*LOG10(X4)</f>
        <v>23</v>
      </c>
      <c r="Y16" s="8">
        <f t="shared" si="3"/>
        <v>23</v>
      </c>
    </row>
    <row r="17" spans="1:25" ht="28">
      <c r="A17" s="7" t="s">
        <v>35</v>
      </c>
      <c r="B17" s="15">
        <f t="shared" ref="B17:G17" si="4">B15+10*LOG10(B41/1000000)</f>
        <v>21.396037294708371</v>
      </c>
      <c r="C17" s="15">
        <f t="shared" si="4"/>
        <v>21.396037294708371</v>
      </c>
      <c r="D17" s="15">
        <f t="shared" si="4"/>
        <v>18.385737338068559</v>
      </c>
      <c r="E17" s="15">
        <f t="shared" si="4"/>
        <v>18.385737338068559</v>
      </c>
      <c r="F17" s="15">
        <f t="shared" si="4"/>
        <v>21.396037294708371</v>
      </c>
      <c r="G17" s="15">
        <f t="shared" si="4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5">L15+10*LOG10(L41/1000000)</f>
        <v>21.396037294708371</v>
      </c>
      <c r="M17" s="15">
        <f t="shared" si="5"/>
        <v>21.396037294708371</v>
      </c>
      <c r="N17" s="8">
        <f t="shared" ref="N17:S17" si="6">N15+10*LOG10(N41/1000000)</f>
        <v>21.396037294708371</v>
      </c>
      <c r="O17" s="8">
        <f t="shared" si="6"/>
        <v>21.396037294708371</v>
      </c>
      <c r="P17" s="15">
        <f t="shared" si="6"/>
        <v>21.396037294708371</v>
      </c>
      <c r="Q17" s="15">
        <f t="shared" si="6"/>
        <v>21.396037294708371</v>
      </c>
      <c r="R17" s="15">
        <f t="shared" si="6"/>
        <v>18.385737338068559</v>
      </c>
      <c r="S17" s="15">
        <f t="shared" si="6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7">X15+10*LOG10(X41/1000000)</f>
        <v>21.396037294708371</v>
      </c>
      <c r="Y17" s="8">
        <f t="shared" si="7"/>
        <v>21.396037294708371</v>
      </c>
    </row>
    <row r="18" spans="1:25" ht="42">
      <c r="A18" s="16" t="s">
        <v>37</v>
      </c>
      <c r="B18" s="15">
        <f t="shared" ref="B18:G18" si="8">B19+10*LOG10(B12/B13)-B20</f>
        <v>26.061799739838872</v>
      </c>
      <c r="C18" s="15">
        <f t="shared" si="8"/>
        <v>26.061799739838872</v>
      </c>
      <c r="D18" s="15">
        <f t="shared" si="8"/>
        <v>26.061799739838872</v>
      </c>
      <c r="E18" s="15">
        <f t="shared" si="8"/>
        <v>26.061799739838872</v>
      </c>
      <c r="F18" s="15">
        <f t="shared" si="8"/>
        <v>19.891799739838874</v>
      </c>
      <c r="G18" s="15">
        <f t="shared" si="8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9">L19+10*LOG10(L12/L13)-L20</f>
        <v>22.581799739838871</v>
      </c>
      <c r="M18" s="15">
        <f t="shared" si="9"/>
        <v>22.581799739838871</v>
      </c>
      <c r="N18" s="8">
        <f t="shared" ref="N18:S18" si="10">N19+10*LOG10(N12/N13)-N20</f>
        <v>26.061799739838872</v>
      </c>
      <c r="O18" s="8">
        <f t="shared" si="10"/>
        <v>26.061799739838872</v>
      </c>
      <c r="P18" s="15">
        <f t="shared" si="10"/>
        <v>26.061799739838872</v>
      </c>
      <c r="Q18" s="15">
        <f t="shared" si="10"/>
        <v>26.061799739838872</v>
      </c>
      <c r="R18" s="15">
        <f t="shared" si="10"/>
        <v>26.061799739838872</v>
      </c>
      <c r="S18" s="15">
        <f t="shared" si="10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1">X19+10*LOG10(X12/X13)-X20</f>
        <v>26.061799739838872</v>
      </c>
      <c r="Y18" s="8">
        <f t="shared" si="11"/>
        <v>26.061799739838872</v>
      </c>
    </row>
    <row r="19" spans="1:2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</row>
    <row r="20" spans="1:2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</row>
    <row r="21" spans="1:2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</row>
    <row r="22" spans="1:2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</row>
    <row r="25" spans="1:25">
      <c r="A25" s="7" t="s">
        <v>49</v>
      </c>
      <c r="B25" s="15">
        <f t="shared" ref="B25:G25" si="12">B17+B18+B21+B22-B24</f>
        <v>44.457837034547239</v>
      </c>
      <c r="C25" s="15">
        <f t="shared" si="12"/>
        <v>44.457837034547239</v>
      </c>
      <c r="D25" s="15">
        <f t="shared" si="12"/>
        <v>41.447537077907427</v>
      </c>
      <c r="E25" s="15">
        <f t="shared" si="12"/>
        <v>41.447537077907427</v>
      </c>
      <c r="F25" s="15">
        <f t="shared" si="12"/>
        <v>38.287837034547245</v>
      </c>
      <c r="G25" s="15">
        <f t="shared" si="12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3">L17+L18+L21+L22-L24</f>
        <v>35.977837034547242</v>
      </c>
      <c r="M25" s="15">
        <f t="shared" si="13"/>
        <v>35.977837034547242</v>
      </c>
      <c r="N25" s="8">
        <f t="shared" ref="N25:S25" si="14">N17+N18+N21+N22-N24</f>
        <v>44.457837034547239</v>
      </c>
      <c r="O25" s="8">
        <f t="shared" si="14"/>
        <v>44.457837034547239</v>
      </c>
      <c r="P25" s="15">
        <f t="shared" si="14"/>
        <v>44.457837034547239</v>
      </c>
      <c r="Q25" s="15">
        <f t="shared" si="14"/>
        <v>44.457837034547239</v>
      </c>
      <c r="R25" s="15">
        <f t="shared" si="14"/>
        <v>41.447537077907427</v>
      </c>
      <c r="S25" s="15">
        <f t="shared" si="14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5">X17+X18+X21+X22-X24</f>
        <v>44.457837034547239</v>
      </c>
      <c r="Y25" s="8">
        <f t="shared" si="15"/>
        <v>44.457837034547239</v>
      </c>
    </row>
    <row r="26" spans="1:2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</row>
    <row r="27" spans="1:2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</row>
    <row r="29" spans="1:2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</row>
    <row r="30" spans="1:25" ht="42">
      <c r="A30" s="7" t="s">
        <v>55</v>
      </c>
      <c r="B30" s="15">
        <f t="shared" ref="B30:G30" si="16">B31+10*LOG10(B28/B29)-B32</f>
        <v>11.020599913279625</v>
      </c>
      <c r="C30" s="15">
        <f t="shared" si="16"/>
        <v>11.020599913279625</v>
      </c>
      <c r="D30" s="15">
        <f t="shared" si="16"/>
        <v>11.020599913279625</v>
      </c>
      <c r="E30" s="15">
        <f t="shared" si="16"/>
        <v>11.020599913279625</v>
      </c>
      <c r="F30" s="15">
        <f t="shared" si="16"/>
        <v>11.020599913279625</v>
      </c>
      <c r="G30" s="15">
        <f t="shared" si="16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17">L31+10*LOG10(L28/L29)-L32</f>
        <v>11.020599913279625</v>
      </c>
      <c r="M30" s="15">
        <f t="shared" si="17"/>
        <v>11.020599913279625</v>
      </c>
      <c r="N30" s="8">
        <f t="shared" ref="N30:S30" si="18">N31+10*LOG10(N28/N29)-N32</f>
        <v>11.020599913279625</v>
      </c>
      <c r="O30" s="8">
        <f t="shared" si="18"/>
        <v>11.020599913279625</v>
      </c>
      <c r="P30" s="15">
        <f t="shared" si="18"/>
        <v>11.020599913279625</v>
      </c>
      <c r="Q30" s="15">
        <f t="shared" si="18"/>
        <v>11.020599913279625</v>
      </c>
      <c r="R30" s="15">
        <f t="shared" si="18"/>
        <v>11.020599913279625</v>
      </c>
      <c r="S30" s="15">
        <f t="shared" si="18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Y30" si="19">X31+10*LOG10(X28/X29)-X32</f>
        <v>11.020599913279625</v>
      </c>
      <c r="Y30" s="8">
        <f t="shared" si="19"/>
        <v>11.020599913279625</v>
      </c>
    </row>
    <row r="31" spans="1:2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</row>
    <row r="32" spans="1:2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</row>
    <row r="33" spans="1:2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</row>
    <row r="35" spans="1:2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</row>
    <row r="38" spans="1:2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28">
      <c r="A39" s="7" t="s">
        <v>108</v>
      </c>
      <c r="B39" s="15">
        <f t="shared" ref="B39:G39" si="20">10*LOG10(10^((B35+B36)/10)+10^(B37/10))</f>
        <v>-167.00000000000003</v>
      </c>
      <c r="C39" s="15">
        <f t="shared" si="20"/>
        <v>-167.00000000000003</v>
      </c>
      <c r="D39" s="15">
        <f t="shared" si="20"/>
        <v>-167.00000000000003</v>
      </c>
      <c r="E39" s="15">
        <f t="shared" si="20"/>
        <v>-167.00000000000003</v>
      </c>
      <c r="F39" s="15">
        <f t="shared" si="20"/>
        <v>-164</v>
      </c>
      <c r="G39" s="15">
        <f t="shared" si="20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1">10*LOG10(10^((L35+L36)/10)+10^(L37/10))</f>
        <v>-163.58607314841774</v>
      </c>
      <c r="M39" s="15">
        <f t="shared" si="21"/>
        <v>-163.58607314841774</v>
      </c>
      <c r="N39" s="8">
        <f t="shared" ref="N39:S39" si="22">10*LOG10(10^((N35+N36)/10)+10^(N37/10))</f>
        <v>-166.20990250347435</v>
      </c>
      <c r="O39" s="8">
        <f t="shared" si="22"/>
        <v>-166.20990250347435</v>
      </c>
      <c r="P39" s="15">
        <f t="shared" si="22"/>
        <v>-167.00000000000003</v>
      </c>
      <c r="Q39" s="15">
        <f t="shared" si="22"/>
        <v>-167.00000000000003</v>
      </c>
      <c r="R39" s="15">
        <f t="shared" si="22"/>
        <v>-167.00000000000003</v>
      </c>
      <c r="S39" s="15">
        <f t="shared" si="22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3">10*LOG10(10^((X35+X36)/10)+10^(X37/10))</f>
        <v>-166.20990250347435</v>
      </c>
      <c r="Y39" s="8">
        <f t="shared" si="23"/>
        <v>-166.20990250347435</v>
      </c>
    </row>
    <row r="40" spans="1:25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</row>
    <row r="41" spans="1:25">
      <c r="A41" s="24" t="s">
        <v>68</v>
      </c>
      <c r="B41" s="15">
        <f t="shared" ref="B41:C41" si="24">48*12*120*1000</f>
        <v>69120000</v>
      </c>
      <c r="C41" s="15">
        <f t="shared" si="24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25">48*12*120*1000</f>
        <v>69120000</v>
      </c>
      <c r="I41" s="73">
        <f t="shared" si="25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26">48*12*120*1000</f>
        <v>69120000</v>
      </c>
      <c r="O41" s="8">
        <f t="shared" si="26"/>
        <v>69120000</v>
      </c>
      <c r="P41" s="15">
        <f t="shared" si="26"/>
        <v>69120000</v>
      </c>
      <c r="Q41" s="15">
        <f t="shared" si="26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27">48*12*120*1000</f>
        <v>69120000</v>
      </c>
      <c r="U41" s="8">
        <f t="shared" si="27"/>
        <v>69120000</v>
      </c>
      <c r="V41" s="8">
        <f>24*12*120*1000</f>
        <v>34560000</v>
      </c>
      <c r="W41" s="8">
        <f>24*12*120*1000</f>
        <v>34560000</v>
      </c>
      <c r="X41" s="8">
        <f t="shared" ref="X41:Y41" si="28">48*12*120*1000</f>
        <v>69120000</v>
      </c>
      <c r="Y41" s="8">
        <f t="shared" si="28"/>
        <v>69120000</v>
      </c>
    </row>
    <row r="42" spans="1:2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>
      <c r="A43" s="7" t="s">
        <v>71</v>
      </c>
      <c r="B43" s="15">
        <f t="shared" ref="B43:G43" si="29">B39+10*LOG10(B41)</f>
        <v>-88.603962705291664</v>
      </c>
      <c r="C43" s="15">
        <f t="shared" si="29"/>
        <v>-88.603962705291664</v>
      </c>
      <c r="D43" s="15">
        <f t="shared" si="29"/>
        <v>-91.614262661931477</v>
      </c>
      <c r="E43" s="15">
        <f t="shared" si="29"/>
        <v>-91.614262661931477</v>
      </c>
      <c r="F43" s="15">
        <f t="shared" si="29"/>
        <v>-85.603962705291636</v>
      </c>
      <c r="G43" s="15">
        <f t="shared" si="29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0">L39+10*LOG10(L41)</f>
        <v>-85.190035853709375</v>
      </c>
      <c r="M43" s="15">
        <f t="shared" si="30"/>
        <v>-85.190035853709375</v>
      </c>
      <c r="N43" s="8">
        <f t="shared" ref="N43:S43" si="31">N39+10*LOG10(N41)</f>
        <v>-87.813865208765989</v>
      </c>
      <c r="O43" s="8">
        <f t="shared" si="31"/>
        <v>-87.813865208765989</v>
      </c>
      <c r="P43" s="15">
        <f t="shared" si="31"/>
        <v>-88.603962705291664</v>
      </c>
      <c r="Q43" s="15">
        <f t="shared" si="31"/>
        <v>-88.603962705291664</v>
      </c>
      <c r="R43" s="15">
        <f t="shared" si="31"/>
        <v>-91.614262661931477</v>
      </c>
      <c r="S43" s="15">
        <f t="shared" si="31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2">X39+10*LOG10(X41)</f>
        <v>-87.813865208765989</v>
      </c>
      <c r="Y43" s="8">
        <f t="shared" si="32"/>
        <v>-87.813865208765989</v>
      </c>
    </row>
    <row r="44" spans="1:2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</row>
    <row r="45" spans="1:25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</row>
    <row r="46" spans="1:2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</row>
    <row r="50" spans="1:25" ht="28">
      <c r="A50" s="7" t="s">
        <v>80</v>
      </c>
      <c r="B50" s="15">
        <f t="shared" ref="B50:G50" si="33">B43+B45+B47-B48</f>
        <v>-92.00396270529167</v>
      </c>
      <c r="C50" s="15">
        <f t="shared" si="33"/>
        <v>-87.803962705291667</v>
      </c>
      <c r="D50" s="15">
        <f t="shared" si="33"/>
        <v>-94.514262661931483</v>
      </c>
      <c r="E50" s="15">
        <f t="shared" si="33"/>
        <v>-90.114262661931477</v>
      </c>
      <c r="F50" s="15">
        <f t="shared" si="33"/>
        <v>-91.523962705291638</v>
      </c>
      <c r="G50" s="15">
        <f t="shared" si="33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34">L43+L45+L47-L48</f>
        <v>-89.500035853709377</v>
      </c>
      <c r="M50" s="15">
        <f t="shared" si="34"/>
        <v>-85.760035853709368</v>
      </c>
      <c r="N50" s="8">
        <f t="shared" ref="N50:S50" si="35">N43+N45+N47-N48</f>
        <v>-88.063865208765989</v>
      </c>
      <c r="O50" s="8">
        <f t="shared" si="35"/>
        <v>-85.063865208765989</v>
      </c>
      <c r="P50" s="15">
        <f t="shared" si="35"/>
        <v>-94.073962705291663</v>
      </c>
      <c r="Q50" s="15">
        <f t="shared" si="35"/>
        <v>-90.393962705291671</v>
      </c>
      <c r="R50" s="15">
        <f t="shared" si="35"/>
        <v>-93.374262661931482</v>
      </c>
      <c r="S50" s="15">
        <f t="shared" si="35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36">X43+X45+X47-X48</f>
        <v>-92.813865208765989</v>
      </c>
      <c r="Y50" s="8">
        <f t="shared" si="36"/>
        <v>-89.013865208765992</v>
      </c>
    </row>
    <row r="51" spans="1:25" ht="28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</row>
    <row r="52" spans="1:25" ht="28">
      <c r="A52" s="26" t="s">
        <v>83</v>
      </c>
      <c r="B52" s="39">
        <f t="shared" ref="B52:K52" si="37">B25+B30+B33-B34-B50</f>
        <v>146.48239965311853</v>
      </c>
      <c r="C52" s="39">
        <f t="shared" si="37"/>
        <v>142.28239965311855</v>
      </c>
      <c r="D52" s="39">
        <f t="shared" si="37"/>
        <v>145.98239965311853</v>
      </c>
      <c r="E52" s="39">
        <f t="shared" si="37"/>
        <v>141.58239965311853</v>
      </c>
      <c r="F52" s="39">
        <f t="shared" si="37"/>
        <v>139.8323996531185</v>
      </c>
      <c r="G52" s="39">
        <f t="shared" si="37"/>
        <v>136.4523996531185</v>
      </c>
      <c r="H52" s="76">
        <f t="shared" si="37"/>
        <v>145.90239965311855</v>
      </c>
      <c r="I52" s="76">
        <f>I25+I30+I33-I34-I50</f>
        <v>140.97239965311854</v>
      </c>
      <c r="J52" s="76">
        <f t="shared" si="37"/>
        <v>145.74239965311853</v>
      </c>
      <c r="K52" s="76">
        <f t="shared" si="37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38">N25+N30+N33-N34-N50</f>
        <v>142.54230215659285</v>
      </c>
      <c r="O52" s="39">
        <f>O25+O30+O33-O34-O50</f>
        <v>139.54230215659285</v>
      </c>
      <c r="P52" s="39">
        <f t="shared" ref="P52:X52" si="39">P25+P30+P33-P34-P50</f>
        <v>148.55239965311853</v>
      </c>
      <c r="Q52" s="39">
        <f>Q25+Q30+Q33-Q34-Q50</f>
        <v>144.87239965311852</v>
      </c>
      <c r="R52" s="39">
        <f t="shared" si="39"/>
        <v>144.84239965311855</v>
      </c>
      <c r="S52" s="39">
        <f t="shared" si="39"/>
        <v>140.25239965311852</v>
      </c>
      <c r="T52" s="39">
        <f t="shared" si="39"/>
        <v>132.08239965311853</v>
      </c>
      <c r="U52" s="39">
        <f>U25+U30+U33-U34-U50</f>
        <v>128.18239965311852</v>
      </c>
      <c r="V52" s="39">
        <f t="shared" si="39"/>
        <v>130.18239965311852</v>
      </c>
      <c r="W52" s="39">
        <f t="shared" si="39"/>
        <v>126.08239965311853</v>
      </c>
      <c r="X52" s="39">
        <f t="shared" si="39"/>
        <v>147.29230215659285</v>
      </c>
      <c r="Y52" s="39">
        <f>Y25+Y30+Y33-Y34-Y50</f>
        <v>143.49230215659287</v>
      </c>
    </row>
    <row r="53" spans="1:25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</row>
    <row r="54" spans="1:2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</row>
    <row r="56" spans="1:25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</row>
    <row r="57" spans="1:25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  <c r="X57" s="99" t="s">
        <v>16</v>
      </c>
      <c r="Y57" s="99" t="s">
        <v>16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28">
      <c r="A61" s="26" t="s">
        <v>110</v>
      </c>
      <c r="B61" s="39">
        <f t="shared" ref="B61:K61" si="40">B52-B56+B58-B59+B60</f>
        <v>146.48239965311853</v>
      </c>
      <c r="C61" s="39">
        <f t="shared" si="40"/>
        <v>142.28239965311855</v>
      </c>
      <c r="D61" s="39">
        <f t="shared" si="40"/>
        <v>145.98239965311853</v>
      </c>
      <c r="E61" s="39">
        <f t="shared" si="40"/>
        <v>141.58239965311853</v>
      </c>
      <c r="F61" s="39">
        <f t="shared" si="40"/>
        <v>139.8323996531185</v>
      </c>
      <c r="G61" s="39">
        <f t="shared" si="40"/>
        <v>136.4523996531185</v>
      </c>
      <c r="H61" s="76">
        <f t="shared" si="40"/>
        <v>145.90239965311855</v>
      </c>
      <c r="I61" s="76">
        <f>I52-I56+I58-I59+I60</f>
        <v>140.97239965311854</v>
      </c>
      <c r="J61" s="76">
        <f t="shared" si="40"/>
        <v>145.74239965311853</v>
      </c>
      <c r="K61" s="76">
        <f t="shared" si="40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41">N52-N56+N58-N59+N60</f>
        <v>134.06230215659286</v>
      </c>
      <c r="O61" s="39">
        <f>O52-O56+O58-O59+O60</f>
        <v>131.06230215659286</v>
      </c>
      <c r="P61" s="39">
        <f t="shared" ref="P61:X61" si="42">P52-P56+P58-P59+P60</f>
        <v>148.55239965311853</v>
      </c>
      <c r="Q61" s="39">
        <f>Q52-Q56+Q58-Q59+Q60</f>
        <v>144.87239965311852</v>
      </c>
      <c r="R61" s="39">
        <f t="shared" si="42"/>
        <v>144.84239965311855</v>
      </c>
      <c r="S61" s="39">
        <f t="shared" si="42"/>
        <v>140.25239965311852</v>
      </c>
      <c r="T61" s="39">
        <f t="shared" si="42"/>
        <v>132.08239965311853</v>
      </c>
      <c r="U61" s="39">
        <f>U52-U56+U58-U59+U60</f>
        <v>128.18239965311852</v>
      </c>
      <c r="V61" s="39">
        <f t="shared" si="42"/>
        <v>130.18239965311852</v>
      </c>
      <c r="W61" s="39">
        <f t="shared" si="42"/>
        <v>126.08239965311853</v>
      </c>
      <c r="X61" s="39">
        <f t="shared" si="42"/>
        <v>138.81230215659286</v>
      </c>
      <c r="Y61" s="39">
        <f>Y52-Y56+Y58-Y59+Y60</f>
        <v>135.01230215659288</v>
      </c>
    </row>
    <row r="62" spans="1:25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  <c r="X62" s="100" t="s">
        <v>16</v>
      </c>
      <c r="Y62" s="100" t="s">
        <v>16</v>
      </c>
    </row>
    <row r="63" spans="1:2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  <c r="X63" s="101"/>
      <c r="Y63" s="101"/>
    </row>
    <row r="64" spans="1:25">
      <c r="A64" s="26" t="s">
        <v>97</v>
      </c>
      <c r="B64" s="39">
        <f t="shared" ref="B64:G64" si="43">B17+B22-B50+B21+B33</f>
        <v>113.40000000000003</v>
      </c>
      <c r="C64" s="39">
        <f t="shared" si="43"/>
        <v>109.20000000000005</v>
      </c>
      <c r="D64" s="39">
        <f t="shared" si="43"/>
        <v>112.90000000000003</v>
      </c>
      <c r="E64" s="39">
        <f t="shared" si="43"/>
        <v>108.50000000000003</v>
      </c>
      <c r="F64" s="39">
        <f t="shared" si="43"/>
        <v>112.92000000000002</v>
      </c>
      <c r="G64" s="39">
        <f t="shared" si="43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44">L17+L22-L50+L21+L33</f>
        <v>105.89607314841774</v>
      </c>
      <c r="M64" s="27">
        <f t="shared" si="44"/>
        <v>102.15607314841773</v>
      </c>
      <c r="N64" s="39">
        <f t="shared" ref="N64:S64" si="45">N17+N22-N50+N21+N33</f>
        <v>109.45990250347435</v>
      </c>
      <c r="O64" s="39">
        <f t="shared" si="45"/>
        <v>106.45990250347435</v>
      </c>
      <c r="P64" s="39">
        <f t="shared" si="45"/>
        <v>115.47000000000003</v>
      </c>
      <c r="Q64" s="39">
        <f t="shared" si="45"/>
        <v>111.79000000000005</v>
      </c>
      <c r="R64" s="39">
        <f t="shared" si="45"/>
        <v>111.76000000000005</v>
      </c>
      <c r="S64" s="39">
        <f t="shared" si="45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  <c r="X64" s="39">
        <f t="shared" ref="X64:Y64" si="46">X17+X22-X50+X21+X33</f>
        <v>114.20990250347435</v>
      </c>
      <c r="Y64" s="39">
        <f t="shared" si="46"/>
        <v>110.40990250347437</v>
      </c>
    </row>
    <row r="65" spans="1:2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</row>
  </sheetData>
  <mergeCells count="8"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purl.org/dc/elements/1.1/"/>
    <ds:schemaRef ds:uri="f0c1c198-6772-4070-9fed-c99b54821fd3"/>
    <ds:schemaRef ds:uri="http://schemas.microsoft.com/office/2006/documentManagement/types"/>
    <ds:schemaRef ds:uri="http://purl.org/dc/terms/"/>
    <ds:schemaRef ds:uri="caa248ac-567e-4f8a-83ad-95641c120e6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2020-10-21T22:30:44Z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