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Final\"/>
    </mc:Choice>
  </mc:AlternateContent>
  <xr:revisionPtr revIDLastSave="0" documentId="13_ncr:1_{B734DAEE-C03E-4E3E-A62F-AD47EDB568FF}" xr6:coauthVersionLast="45" xr6:coauthVersionMax="45" xr10:uidLastSave="{00000000-0000-0000-0000-000000000000}"/>
  <bookViews>
    <workbookView xWindow="-110" yWindow="-110" windowWidth="19420" windowHeight="10420" tabRatio="774" firstSheet="3" activeTab="1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2" i="54" l="1"/>
  <c r="Z42" i="54"/>
  <c r="AA40" i="54"/>
  <c r="AA44" i="54" s="1"/>
  <c r="AA51" i="54" s="1"/>
  <c r="AA65" i="54" s="1"/>
  <c r="Z40" i="54"/>
  <c r="Z44" i="54" s="1"/>
  <c r="Z51" i="54" s="1"/>
  <c r="Z65" i="54" s="1"/>
  <c r="AA30" i="54"/>
  <c r="Z30" i="54"/>
  <c r="AA18" i="54"/>
  <c r="AA26" i="54" s="1"/>
  <c r="AA53" i="54" s="1"/>
  <c r="AA62" i="54" s="1"/>
  <c r="Z18" i="54"/>
  <c r="Z26" i="54" s="1"/>
  <c r="Z53" i="54" s="1"/>
  <c r="Z62" i="54" s="1"/>
  <c r="AL42" i="53"/>
  <c r="AL44" i="53" s="1"/>
  <c r="AL51" i="53" s="1"/>
  <c r="AK42" i="53"/>
  <c r="AK17" i="53" s="1"/>
  <c r="AJ42" i="53"/>
  <c r="AL40" i="53"/>
  <c r="AK40" i="53"/>
  <c r="AK44" i="53" s="1"/>
  <c r="AK51" i="53" s="1"/>
  <c r="AJ40" i="53"/>
  <c r="AJ44" i="53" s="1"/>
  <c r="AJ51" i="53" s="1"/>
  <c r="AL30" i="53"/>
  <c r="AK30" i="53"/>
  <c r="AJ30" i="53"/>
  <c r="AL18" i="53"/>
  <c r="AK18" i="53"/>
  <c r="AJ18" i="53"/>
  <c r="AJ17" i="53"/>
  <c r="AJ65" i="53" s="1"/>
  <c r="AL16" i="53"/>
  <c r="AK16" i="53"/>
  <c r="AJ16" i="53"/>
  <c r="AQ44" i="52"/>
  <c r="AQ51" i="52" s="1"/>
  <c r="AP44" i="52"/>
  <c r="AP51" i="52" s="1"/>
  <c r="AR42" i="52"/>
  <c r="AR17" i="52" s="1"/>
  <c r="AQ42" i="52"/>
  <c r="AP42" i="52"/>
  <c r="AR40" i="52"/>
  <c r="AR44" i="52" s="1"/>
  <c r="AR51" i="52" s="1"/>
  <c r="AQ40" i="52"/>
  <c r="AP40" i="52"/>
  <c r="AR30" i="52"/>
  <c r="AQ30" i="52"/>
  <c r="AP30" i="52"/>
  <c r="AR18" i="52"/>
  <c r="AQ18" i="52"/>
  <c r="AP18" i="52"/>
  <c r="AP26" i="52" s="1"/>
  <c r="AP53" i="52" s="1"/>
  <c r="AP62" i="52" s="1"/>
  <c r="AQ17" i="52"/>
  <c r="AQ65" i="52" s="1"/>
  <c r="AP17" i="52"/>
  <c r="AP65" i="52" s="1"/>
  <c r="AR16" i="52"/>
  <c r="AQ16" i="52"/>
  <c r="AP16" i="52"/>
  <c r="AG43" i="51"/>
  <c r="AG50" i="51" s="1"/>
  <c r="AF43" i="51"/>
  <c r="AF50" i="51" s="1"/>
  <c r="AG41" i="51"/>
  <c r="AG17" i="51" s="1"/>
  <c r="AF41" i="51"/>
  <c r="AF17" i="51" s="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G16" i="51"/>
  <c r="AF16" i="51"/>
  <c r="AE16" i="51"/>
  <c r="W44" i="50"/>
  <c r="W51" i="50" s="1"/>
  <c r="W65" i="50" s="1"/>
  <c r="W42" i="50"/>
  <c r="V42" i="50"/>
  <c r="W40" i="50"/>
  <c r="V40" i="50"/>
  <c r="V44" i="50" s="1"/>
  <c r="V51" i="50" s="1"/>
  <c r="V65" i="50" s="1"/>
  <c r="W30" i="50"/>
  <c r="V30" i="50"/>
  <c r="W26" i="50"/>
  <c r="W53" i="50" s="1"/>
  <c r="W62" i="50" s="1"/>
  <c r="W18" i="50"/>
  <c r="V18" i="50"/>
  <c r="V26" i="50" s="1"/>
  <c r="S43" i="49"/>
  <c r="S50" i="49" s="1"/>
  <c r="S64" i="49" s="1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R52" i="49" s="1"/>
  <c r="R61" i="49" s="1"/>
  <c r="T43" i="47"/>
  <c r="T50" i="47" s="1"/>
  <c r="T64" i="47" s="1"/>
  <c r="U41" i="47"/>
  <c r="T41" i="47"/>
  <c r="U39" i="47"/>
  <c r="U43" i="47" s="1"/>
  <c r="U50" i="47" s="1"/>
  <c r="U64" i="47" s="1"/>
  <c r="T39" i="47"/>
  <c r="U30" i="47"/>
  <c r="T30" i="47"/>
  <c r="T25" i="47"/>
  <c r="U18" i="47"/>
  <c r="U25" i="47" s="1"/>
  <c r="U52" i="47" s="1"/>
  <c r="U61" i="47" s="1"/>
  <c r="T18" i="47"/>
  <c r="AG42" i="46"/>
  <c r="AG44" i="46" s="1"/>
  <c r="AG51" i="46" s="1"/>
  <c r="AF42" i="46"/>
  <c r="AF44" i="46" s="1"/>
  <c r="AF51" i="46" s="1"/>
  <c r="AE42" i="46"/>
  <c r="AE17" i="46" s="1"/>
  <c r="AG40" i="46"/>
  <c r="AF40" i="46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G43" i="32"/>
  <c r="AG50" i="32" s="1"/>
  <c r="AG41" i="32"/>
  <c r="AF41" i="32"/>
  <c r="AE41" i="32"/>
  <c r="AE17" i="32" s="1"/>
  <c r="AG39" i="32"/>
  <c r="AF39" i="32"/>
  <c r="AF43" i="32" s="1"/>
  <c r="AF50" i="32" s="1"/>
  <c r="AF64" i="32" s="1"/>
  <c r="AE39" i="32"/>
  <c r="AE43" i="32" s="1"/>
  <c r="AE50" i="32" s="1"/>
  <c r="AG30" i="32"/>
  <c r="AF30" i="32"/>
  <c r="AE30" i="32"/>
  <c r="AG18" i="32"/>
  <c r="AF18" i="32"/>
  <c r="AE18" i="32"/>
  <c r="AG17" i="32"/>
  <c r="AG64" i="32" s="1"/>
  <c r="AF17" i="32"/>
  <c r="AF25" i="32" s="1"/>
  <c r="AF52" i="32" s="1"/>
  <c r="AF61" i="32" s="1"/>
  <c r="AG16" i="32"/>
  <c r="AF16" i="32"/>
  <c r="AE16" i="32"/>
  <c r="AK65" i="53" l="1"/>
  <c r="AK26" i="53"/>
  <c r="AK53" i="53" s="1"/>
  <c r="AK62" i="53" s="1"/>
  <c r="AL17" i="53"/>
  <c r="AJ26" i="53"/>
  <c r="AJ53" i="53" s="1"/>
  <c r="AJ62" i="53" s="1"/>
  <c r="AR65" i="52"/>
  <c r="AR26" i="52"/>
  <c r="AR53" i="52" s="1"/>
  <c r="AR62" i="52" s="1"/>
  <c r="AQ26" i="52"/>
  <c r="AQ53" i="52" s="1"/>
  <c r="AQ62" i="52" s="1"/>
  <c r="AG64" i="51"/>
  <c r="AG25" i="51"/>
  <c r="AG52" i="51" s="1"/>
  <c r="AG61" i="51" s="1"/>
  <c r="AE64" i="51"/>
  <c r="AE25" i="51"/>
  <c r="AE52" i="51" s="1"/>
  <c r="AE61" i="51" s="1"/>
  <c r="AF64" i="51"/>
  <c r="AF25" i="51"/>
  <c r="AF52" i="51" s="1"/>
  <c r="AF61" i="51" s="1"/>
  <c r="V53" i="50"/>
  <c r="V62" i="50" s="1"/>
  <c r="S52" i="49"/>
  <c r="S61" i="49" s="1"/>
  <c r="T52" i="47"/>
  <c r="T61" i="47" s="1"/>
  <c r="AE65" i="46"/>
  <c r="AE26" i="46"/>
  <c r="AE53" i="46" s="1"/>
  <c r="AE62" i="46" s="1"/>
  <c r="AF17" i="46"/>
  <c r="AG17" i="46"/>
  <c r="AE64" i="32"/>
  <c r="AE25" i="32"/>
  <c r="AE52" i="32" s="1"/>
  <c r="AE61" i="32" s="1"/>
  <c r="AG25" i="32"/>
  <c r="AG52" i="32" s="1"/>
  <c r="AG61" i="32" s="1"/>
  <c r="AL65" i="53" l="1"/>
  <c r="AL26" i="53"/>
  <c r="AL53" i="53" s="1"/>
  <c r="AL62" i="53" s="1"/>
  <c r="AF26" i="46"/>
  <c r="AF53" i="46" s="1"/>
  <c r="AF62" i="46" s="1"/>
  <c r="AF65" i="46"/>
  <c r="AG26" i="46"/>
  <c r="AG53" i="46" s="1"/>
  <c r="AG62" i="46" s="1"/>
  <c r="AG65" i="46"/>
  <c r="AM51" i="52" l="1"/>
  <c r="AL51" i="52"/>
  <c r="AM44" i="52"/>
  <c r="AL44" i="52"/>
  <c r="AK44" i="52"/>
  <c r="AK51" i="52" s="1"/>
  <c r="AJ44" i="52"/>
  <c r="AJ51" i="52" s="1"/>
  <c r="AO42" i="52"/>
  <c r="AN42" i="52"/>
  <c r="AM42" i="52"/>
  <c r="AM17" i="52" s="1"/>
  <c r="AL42" i="52"/>
  <c r="AL17" i="52" s="1"/>
  <c r="AK42" i="52"/>
  <c r="AK17" i="52" s="1"/>
  <c r="AJ42" i="52"/>
  <c r="AJ17" i="52" s="1"/>
  <c r="AO40" i="52"/>
  <c r="AO44" i="52" s="1"/>
  <c r="AO51" i="52" s="1"/>
  <c r="AN40" i="52"/>
  <c r="AN44" i="52" s="1"/>
  <c r="AN51" i="52" s="1"/>
  <c r="AM40" i="52"/>
  <c r="AL40" i="52"/>
  <c r="AK40" i="52"/>
  <c r="AJ40" i="52"/>
  <c r="AO30" i="52"/>
  <c r="AN30" i="52"/>
  <c r="AM30" i="52"/>
  <c r="AL30" i="52"/>
  <c r="AK30" i="52"/>
  <c r="AJ30" i="52"/>
  <c r="AO18" i="52"/>
  <c r="AN18" i="52"/>
  <c r="AM18" i="52"/>
  <c r="AL18" i="52"/>
  <c r="AK18" i="52"/>
  <c r="AJ18" i="52"/>
  <c r="AO17" i="52"/>
  <c r="AN17" i="52"/>
  <c r="AO16" i="52"/>
  <c r="AN16" i="52"/>
  <c r="AM16" i="52"/>
  <c r="AL16" i="52"/>
  <c r="AK16" i="52"/>
  <c r="AJ16" i="52"/>
  <c r="AO65" i="52" l="1"/>
  <c r="AJ65" i="52"/>
  <c r="AJ26" i="52"/>
  <c r="AJ53" i="52" s="1"/>
  <c r="AJ62" i="52" s="1"/>
  <c r="AK65" i="52"/>
  <c r="AK26" i="52"/>
  <c r="AK53" i="52" s="1"/>
  <c r="AK62" i="52" s="1"/>
  <c r="AN65" i="52"/>
  <c r="AL65" i="52"/>
  <c r="AL26" i="52"/>
  <c r="AL53" i="52" s="1"/>
  <c r="AL62" i="52" s="1"/>
  <c r="AM65" i="52"/>
  <c r="AM26" i="52"/>
  <c r="AM53" i="52" s="1"/>
  <c r="AM62" i="52" s="1"/>
  <c r="AN26" i="52"/>
  <c r="AN53" i="52" s="1"/>
  <c r="AN62" i="52" s="1"/>
  <c r="AO26" i="52"/>
  <c r="AO53" i="52" s="1"/>
  <c r="AO62" i="52" s="1"/>
  <c r="J43" i="57"/>
  <c r="J50" i="57" s="1"/>
  <c r="J64" i="57" s="1"/>
  <c r="K41" i="57"/>
  <c r="J41" i="57"/>
  <c r="K39" i="57"/>
  <c r="K43" i="57" s="1"/>
  <c r="K50" i="57" s="1"/>
  <c r="K64" i="57" s="1"/>
  <c r="J39" i="57"/>
  <c r="K30" i="57"/>
  <c r="J30" i="57"/>
  <c r="K25" i="57"/>
  <c r="K52" i="57" s="1"/>
  <c r="K61" i="57" s="1"/>
  <c r="J25" i="57"/>
  <c r="J52" i="57" s="1"/>
  <c r="J61" i="57" s="1"/>
  <c r="K18" i="57"/>
  <c r="J18" i="57"/>
  <c r="K44" i="56"/>
  <c r="K51" i="56" s="1"/>
  <c r="K65" i="56" s="1"/>
  <c r="L42" i="56"/>
  <c r="K42" i="56"/>
  <c r="L40" i="56"/>
  <c r="L44" i="56" s="1"/>
  <c r="L51" i="56" s="1"/>
  <c r="L65" i="56" s="1"/>
  <c r="K40" i="56"/>
  <c r="L30" i="56"/>
  <c r="K30" i="56"/>
  <c r="K26" i="56"/>
  <c r="L18" i="56"/>
  <c r="K18" i="56"/>
  <c r="L17" i="56"/>
  <c r="L26" i="56" s="1"/>
  <c r="K17" i="56"/>
  <c r="L16" i="56"/>
  <c r="K16" i="56"/>
  <c r="X44" i="54"/>
  <c r="X51" i="54" s="1"/>
  <c r="X65" i="54" s="1"/>
  <c r="Y42" i="54"/>
  <c r="X42" i="54"/>
  <c r="Y40" i="54"/>
  <c r="Y44" i="54" s="1"/>
  <c r="Y51" i="54" s="1"/>
  <c r="Y65" i="54" s="1"/>
  <c r="X40" i="54"/>
  <c r="Y30" i="54"/>
  <c r="X30" i="54"/>
  <c r="Y26" i="54"/>
  <c r="Y53" i="54" s="1"/>
  <c r="Y62" i="54" s="1"/>
  <c r="X26" i="54"/>
  <c r="Y18" i="54"/>
  <c r="X18" i="54"/>
  <c r="AI42" i="53"/>
  <c r="AI17" i="53" s="1"/>
  <c r="AI26" i="53" s="1"/>
  <c r="AH42" i="53"/>
  <c r="AH17" i="53" s="1"/>
  <c r="AH26" i="53" s="1"/>
  <c r="AH53" i="53" s="1"/>
  <c r="AH62" i="53" s="1"/>
  <c r="AI40" i="53"/>
  <c r="AI44" i="53" s="1"/>
  <c r="AI51" i="53" s="1"/>
  <c r="AH40" i="53"/>
  <c r="AH44" i="53" s="1"/>
  <c r="AH51" i="53" s="1"/>
  <c r="AH65" i="53" s="1"/>
  <c r="AI30" i="53"/>
  <c r="AH30" i="53"/>
  <c r="AI18" i="53"/>
  <c r="AH18" i="53"/>
  <c r="AI16" i="53"/>
  <c r="AH16" i="53"/>
  <c r="AI42" i="52"/>
  <c r="AH42" i="52"/>
  <c r="AI40" i="52"/>
  <c r="AI44" i="52" s="1"/>
  <c r="AI51" i="52" s="1"/>
  <c r="AH40" i="52"/>
  <c r="AH44" i="52" s="1"/>
  <c r="AH51" i="52" s="1"/>
  <c r="AI30" i="52"/>
  <c r="AH30" i="52"/>
  <c r="AI18" i="52"/>
  <c r="AH18" i="52"/>
  <c r="AI17" i="52"/>
  <c r="AH17" i="52"/>
  <c r="AI16" i="52"/>
  <c r="AH16" i="52"/>
  <c r="AL41" i="51"/>
  <c r="AK41" i="51"/>
  <c r="AL39" i="51"/>
  <c r="AL43" i="51" s="1"/>
  <c r="AL50" i="51" s="1"/>
  <c r="AL64" i="51" s="1"/>
  <c r="AK39" i="51"/>
  <c r="AK43" i="51" s="1"/>
  <c r="AK50" i="51" s="1"/>
  <c r="AK64" i="51" s="1"/>
  <c r="AL30" i="51"/>
  <c r="AK30" i="51"/>
  <c r="AL18" i="51"/>
  <c r="AK18" i="51"/>
  <c r="AL17" i="51"/>
  <c r="AL25" i="51" s="1"/>
  <c r="AK17" i="51"/>
  <c r="AK25" i="51" s="1"/>
  <c r="AL16" i="51"/>
  <c r="AK16" i="51"/>
  <c r="Z44" i="50"/>
  <c r="Z51" i="50" s="1"/>
  <c r="Z65" i="50" s="1"/>
  <c r="AA42" i="50"/>
  <c r="Z42" i="50"/>
  <c r="AA40" i="50"/>
  <c r="AA44" i="50" s="1"/>
  <c r="AA51" i="50" s="1"/>
  <c r="AA65" i="50" s="1"/>
  <c r="Z40" i="50"/>
  <c r="AA30" i="50"/>
  <c r="Z30" i="50"/>
  <c r="Z26" i="50"/>
  <c r="Z53" i="50" s="1"/>
  <c r="Z62" i="50" s="1"/>
  <c r="AA18" i="50"/>
  <c r="AA26" i="50" s="1"/>
  <c r="Z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W52" i="49" s="1"/>
  <c r="W61" i="49" s="1"/>
  <c r="V18" i="49"/>
  <c r="V25" i="49" s="1"/>
  <c r="V52" i="49" s="1"/>
  <c r="V61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25" i="48"/>
  <c r="Q52" i="48" s="1"/>
  <c r="Q61" i="48" s="1"/>
  <c r="Q18" i="48"/>
  <c r="P18" i="48"/>
  <c r="P25" i="48" s="1"/>
  <c r="P52" i="48" s="1"/>
  <c r="P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W18" i="47"/>
  <c r="V18" i="47"/>
  <c r="V25" i="47" s="1"/>
  <c r="V52" i="47" s="1"/>
  <c r="V61" i="47" s="1"/>
  <c r="AL42" i="46"/>
  <c r="AK42" i="46"/>
  <c r="AK17" i="46" s="1"/>
  <c r="AL40" i="46"/>
  <c r="AL44" i="46" s="1"/>
  <c r="AL51" i="46" s="1"/>
  <c r="AK40" i="46"/>
  <c r="AL30" i="46"/>
  <c r="AK30" i="46"/>
  <c r="AL18" i="46"/>
  <c r="AK18" i="46"/>
  <c r="AL17" i="46"/>
  <c r="AL16" i="46"/>
  <c r="AK16" i="46"/>
  <c r="AI41" i="32"/>
  <c r="AH41" i="32"/>
  <c r="AI39" i="32"/>
  <c r="AI43" i="32" s="1"/>
  <c r="AI50" i="32" s="1"/>
  <c r="AH39" i="32"/>
  <c r="AH43" i="32" s="1"/>
  <c r="AH50" i="32" s="1"/>
  <c r="AI30" i="32"/>
  <c r="AH30" i="32"/>
  <c r="AI18" i="32"/>
  <c r="AH18" i="32"/>
  <c r="AI17" i="32"/>
  <c r="AH17" i="32"/>
  <c r="AI16" i="32"/>
  <c r="AH16" i="32"/>
  <c r="AH65" i="52" l="1"/>
  <c r="AI65" i="52"/>
  <c r="AK52" i="51"/>
  <c r="AK61" i="51" s="1"/>
  <c r="AK44" i="46"/>
  <c r="AK51" i="46" s="1"/>
  <c r="AK65" i="46" s="1"/>
  <c r="AH25" i="32"/>
  <c r="AH52" i="32" s="1"/>
  <c r="AH61" i="32" s="1"/>
  <c r="K53" i="56"/>
  <c r="K62" i="56" s="1"/>
  <c r="L53" i="56"/>
  <c r="L62" i="56" s="1"/>
  <c r="X53" i="54"/>
  <c r="X62" i="54" s="1"/>
  <c r="AI53" i="53"/>
  <c r="AI62" i="53" s="1"/>
  <c r="AI65" i="53"/>
  <c r="AH26" i="52"/>
  <c r="AH53" i="52" s="1"/>
  <c r="AH62" i="52" s="1"/>
  <c r="AI26" i="52"/>
  <c r="AI53" i="52" s="1"/>
  <c r="AI62" i="52" s="1"/>
  <c r="AL52" i="51"/>
  <c r="AL61" i="51" s="1"/>
  <c r="AA53" i="50"/>
  <c r="AA62" i="50" s="1"/>
  <c r="AL65" i="46"/>
  <c r="AK26" i="46"/>
  <c r="AK53" i="46" s="1"/>
  <c r="AK62" i="46" s="1"/>
  <c r="AL26" i="46"/>
  <c r="AL53" i="46" s="1"/>
  <c r="AL62" i="46" s="1"/>
  <c r="AI64" i="32"/>
  <c r="AH64" i="32"/>
  <c r="AI25" i="32"/>
  <c r="AI52" i="32" s="1"/>
  <c r="AI61" i="32" s="1"/>
  <c r="U43" i="49" l="1"/>
  <c r="U50" i="49" s="1"/>
  <c r="U64" i="49" s="1"/>
  <c r="U41" i="49"/>
  <c r="T41" i="49"/>
  <c r="U39" i="49"/>
  <c r="T39" i="49"/>
  <c r="T43" i="49" s="1"/>
  <c r="T50" i="49" s="1"/>
  <c r="T64" i="49" s="1"/>
  <c r="U30" i="49"/>
  <c r="T30" i="49"/>
  <c r="U25" i="49"/>
  <c r="T25" i="49"/>
  <c r="T52" i="49" s="1"/>
  <c r="T61" i="49" s="1"/>
  <c r="U18" i="49"/>
  <c r="T18" i="49"/>
  <c r="Y44" i="50"/>
  <c r="Y51" i="50" s="1"/>
  <c r="Y65" i="50" s="1"/>
  <c r="X44" i="50"/>
  <c r="X51" i="50" s="1"/>
  <c r="X65" i="50" s="1"/>
  <c r="Y42" i="50"/>
  <c r="X42" i="50"/>
  <c r="Y40" i="50"/>
  <c r="X40" i="50"/>
  <c r="Y30" i="50"/>
  <c r="X30" i="50"/>
  <c r="Y26" i="50"/>
  <c r="X26" i="50"/>
  <c r="Y18" i="50"/>
  <c r="X18" i="50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18" i="54"/>
  <c r="W26" i="54" s="1"/>
  <c r="V18" i="54"/>
  <c r="V26" i="54" s="1"/>
  <c r="V53" i="54" s="1"/>
  <c r="V62" i="54" s="1"/>
  <c r="AJ44" i="46"/>
  <c r="AJ51" i="46" s="1"/>
  <c r="AJ65" i="46" s="1"/>
  <c r="AJ42" i="46"/>
  <c r="AI42" i="46"/>
  <c r="AI17" i="46" s="1"/>
  <c r="AH42" i="46"/>
  <c r="AJ40" i="46"/>
  <c r="AI40" i="46"/>
  <c r="AI44" i="46" s="1"/>
  <c r="AI51" i="46" s="1"/>
  <c r="AH40" i="46"/>
  <c r="AH44" i="46" s="1"/>
  <c r="AH51" i="46" s="1"/>
  <c r="AJ30" i="46"/>
  <c r="AI30" i="46"/>
  <c r="AH30" i="46"/>
  <c r="AJ18" i="46"/>
  <c r="AI18" i="46"/>
  <c r="AH18" i="46"/>
  <c r="AJ17" i="46"/>
  <c r="AJ26" i="46" s="1"/>
  <c r="AH17" i="46"/>
  <c r="AJ16" i="46"/>
  <c r="AI16" i="46"/>
  <c r="AH16" i="46"/>
  <c r="AG42" i="53"/>
  <c r="AG17" i="53" s="1"/>
  <c r="AF42" i="53"/>
  <c r="AE42" i="53"/>
  <c r="AG40" i="53"/>
  <c r="AG44" i="53" s="1"/>
  <c r="AG51" i="53" s="1"/>
  <c r="AF40" i="53"/>
  <c r="AE40" i="53"/>
  <c r="AE44" i="53" s="1"/>
  <c r="AE51" i="53" s="1"/>
  <c r="AG30" i="53"/>
  <c r="AF30" i="53"/>
  <c r="AE30" i="53"/>
  <c r="AG18" i="53"/>
  <c r="AF18" i="53"/>
  <c r="AE18" i="53"/>
  <c r="AE17" i="53"/>
  <c r="AG16" i="53"/>
  <c r="AF16" i="53"/>
  <c r="AE16" i="53"/>
  <c r="AG42" i="52"/>
  <c r="AG17" i="52" s="1"/>
  <c r="AF42" i="52"/>
  <c r="AF17" i="52" s="1"/>
  <c r="AE42" i="52"/>
  <c r="AG40" i="52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J41" i="51"/>
  <c r="AJ17" i="51" s="1"/>
  <c r="AI41" i="51"/>
  <c r="AI17" i="51" s="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6" i="51"/>
  <c r="AI16" i="51"/>
  <c r="AH16" i="51"/>
  <c r="AF44" i="53" l="1"/>
  <c r="AF51" i="53" s="1"/>
  <c r="AG44" i="52"/>
  <c r="AG51" i="52" s="1"/>
  <c r="AG65" i="52" s="1"/>
  <c r="AE44" i="52"/>
  <c r="AE51" i="52" s="1"/>
  <c r="U52" i="49"/>
  <c r="U61" i="49" s="1"/>
  <c r="X53" i="50"/>
  <c r="X62" i="50" s="1"/>
  <c r="Y53" i="50"/>
  <c r="Y62" i="50" s="1"/>
  <c r="W53" i="54"/>
  <c r="W62" i="54" s="1"/>
  <c r="AH65" i="46"/>
  <c r="AJ53" i="46"/>
  <c r="AJ62" i="46" s="1"/>
  <c r="AI65" i="46"/>
  <c r="AI26" i="46"/>
  <c r="AI53" i="46" s="1"/>
  <c r="AI62" i="46" s="1"/>
  <c r="AH26" i="46"/>
  <c r="AH53" i="46" s="1"/>
  <c r="AH62" i="46" s="1"/>
  <c r="AG65" i="53"/>
  <c r="AG26" i="53"/>
  <c r="AG53" i="53" s="1"/>
  <c r="AG62" i="53" s="1"/>
  <c r="AE65" i="53"/>
  <c r="AF17" i="53"/>
  <c r="AE26" i="53"/>
  <c r="AE53" i="53" s="1"/>
  <c r="AE62" i="53" s="1"/>
  <c r="AG26" i="52"/>
  <c r="AG53" i="52" s="1"/>
  <c r="AG62" i="52" s="1"/>
  <c r="AF65" i="52"/>
  <c r="AF26" i="52"/>
  <c r="AF53" i="52" s="1"/>
  <c r="AF62" i="52" s="1"/>
  <c r="AE17" i="52"/>
  <c r="AJ25" i="51"/>
  <c r="AJ52" i="51" s="1"/>
  <c r="AJ61" i="51" s="1"/>
  <c r="AJ64" i="51"/>
  <c r="AI25" i="51"/>
  <c r="AI52" i="51" s="1"/>
  <c r="AI61" i="51" s="1"/>
  <c r="AI64" i="51"/>
  <c r="AH64" i="51"/>
  <c r="AH25" i="51"/>
  <c r="AH52" i="51" s="1"/>
  <c r="AH61" i="51" s="1"/>
  <c r="AF65" i="53" l="1"/>
  <c r="AF26" i="53"/>
  <c r="AF53" i="53" s="1"/>
  <c r="AF62" i="53" s="1"/>
  <c r="AE65" i="52"/>
  <c r="AE26" i="52"/>
  <c r="AE53" i="52" s="1"/>
  <c r="AE62" i="5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J42" i="56"/>
  <c r="I42" i="56"/>
  <c r="H42" i="56"/>
  <c r="J40" i="56"/>
  <c r="I40" i="56"/>
  <c r="I44" i="56" s="1"/>
  <c r="I51" i="56" s="1"/>
  <c r="H40" i="56"/>
  <c r="H44" i="56" s="1"/>
  <c r="H51" i="56" s="1"/>
  <c r="H65" i="56" s="1"/>
  <c r="J30" i="56"/>
  <c r="I30" i="56"/>
  <c r="H30" i="56"/>
  <c r="J18" i="56"/>
  <c r="I18" i="56"/>
  <c r="H18" i="56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D42" i="53"/>
  <c r="AD17" i="53" s="1"/>
  <c r="AC42" i="53"/>
  <c r="AB42" i="53"/>
  <c r="AB17" i="53" s="1"/>
  <c r="AD40" i="53"/>
  <c r="AD44" i="53" s="1"/>
  <c r="AD51" i="53" s="1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C17" i="53"/>
  <c r="AD16" i="53"/>
  <c r="AC16" i="53"/>
  <c r="AB16" i="53"/>
  <c r="AD42" i="52"/>
  <c r="AC42" i="52"/>
  <c r="AB42" i="52"/>
  <c r="AB17" i="52" s="1"/>
  <c r="AD40" i="52"/>
  <c r="AC40" i="52"/>
  <c r="AB40" i="52"/>
  <c r="AD30" i="52"/>
  <c r="AC30" i="52"/>
  <c r="AB30" i="52"/>
  <c r="AD18" i="52"/>
  <c r="AC18" i="52"/>
  <c r="AB18" i="52"/>
  <c r="AC17" i="52"/>
  <c r="AD16" i="52"/>
  <c r="AC16" i="52"/>
  <c r="AB16" i="52"/>
  <c r="AD41" i="51"/>
  <c r="AD43" i="51" s="1"/>
  <c r="AD50" i="51" s="1"/>
  <c r="AC41" i="51"/>
  <c r="AB41" i="51"/>
  <c r="AB17" i="51" s="1"/>
  <c r="AD39" i="51"/>
  <c r="AC39" i="51"/>
  <c r="AC43" i="51" s="1"/>
  <c r="AC50" i="51" s="1"/>
  <c r="AB39" i="51"/>
  <c r="AB43" i="51" s="1"/>
  <c r="AB50" i="51" s="1"/>
  <c r="AD30" i="51"/>
  <c r="AC30" i="51"/>
  <c r="AB30" i="51"/>
  <c r="AD18" i="51"/>
  <c r="AC18" i="51"/>
  <c r="AB18" i="51"/>
  <c r="AC17" i="5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B44" i="46"/>
  <c r="AB51" i="46" s="1"/>
  <c r="AD42" i="46"/>
  <c r="AD17" i="46" s="1"/>
  <c r="AC42" i="46"/>
  <c r="AB42" i="46"/>
  <c r="AD40" i="46"/>
  <c r="AC40" i="46"/>
  <c r="AC44" i="46" s="1"/>
  <c r="AC51" i="46" s="1"/>
  <c r="AB40" i="46"/>
  <c r="AD30" i="46"/>
  <c r="AC30" i="46"/>
  <c r="AB30" i="46"/>
  <c r="AD18" i="46"/>
  <c r="AC18" i="46"/>
  <c r="AB18" i="46"/>
  <c r="AC17" i="46"/>
  <c r="AB17" i="46"/>
  <c r="AD16" i="46"/>
  <c r="AC16" i="46"/>
  <c r="AB16" i="46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B43" i="32" s="1"/>
  <c r="AB50" i="32" s="1"/>
  <c r="AD30" i="32"/>
  <c r="AC30" i="32"/>
  <c r="AB30" i="32"/>
  <c r="AD18" i="32"/>
  <c r="AC18" i="32"/>
  <c r="AB18" i="32"/>
  <c r="AC17" i="32"/>
  <c r="AD16" i="32"/>
  <c r="AC16" i="32"/>
  <c r="AB16" i="32"/>
  <c r="H26" i="56" l="1"/>
  <c r="J44" i="56"/>
  <c r="J51" i="56" s="1"/>
  <c r="AC65" i="53"/>
  <c r="AC44" i="52"/>
  <c r="AC51" i="52" s="1"/>
  <c r="AC65" i="52" s="1"/>
  <c r="AD44" i="52"/>
  <c r="AD51" i="52" s="1"/>
  <c r="AB44" i="52"/>
  <c r="AB51" i="52" s="1"/>
  <c r="AB65" i="52" s="1"/>
  <c r="AB64" i="51"/>
  <c r="AC64" i="51"/>
  <c r="AB25" i="51"/>
  <c r="AB52" i="51" s="1"/>
  <c r="AB61" i="51" s="1"/>
  <c r="AB65" i="46"/>
  <c r="AD44" i="46"/>
  <c r="AD51" i="46" s="1"/>
  <c r="AC65" i="46"/>
  <c r="AB26" i="46"/>
  <c r="AB53" i="46" s="1"/>
  <c r="AB62" i="46" s="1"/>
  <c r="AC64" i="32"/>
  <c r="H52" i="57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G42" i="56"/>
  <c r="G17" i="56" s="1"/>
  <c r="F42" i="56"/>
  <c r="F17" i="56" s="1"/>
  <c r="E42" i="56"/>
  <c r="E17" i="56" s="1"/>
  <c r="G40" i="56"/>
  <c r="F40" i="56"/>
  <c r="E40" i="56"/>
  <c r="E44" i="56" s="1"/>
  <c r="E51" i="56" s="1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Z40" i="53"/>
  <c r="Y40" i="53"/>
  <c r="AA30" i="53"/>
  <c r="Z30" i="53"/>
  <c r="Y30" i="53"/>
  <c r="AA18" i="53"/>
  <c r="Z18" i="53"/>
  <c r="Y18" i="53"/>
  <c r="AA16" i="53"/>
  <c r="Z16" i="53"/>
  <c r="Y16" i="53"/>
  <c r="AA42" i="52"/>
  <c r="AA17" i="52" s="1"/>
  <c r="Z42" i="52"/>
  <c r="Z17" i="52" s="1"/>
  <c r="Y42" i="52"/>
  <c r="AA40" i="52"/>
  <c r="AA44" i="52" s="1"/>
  <c r="AA51" i="52" s="1"/>
  <c r="Z40" i="52"/>
  <c r="Y40" i="52"/>
  <c r="AA30" i="52"/>
  <c r="Z30" i="52"/>
  <c r="Y30" i="52"/>
  <c r="AA18" i="52"/>
  <c r="Z18" i="52"/>
  <c r="Y18" i="52"/>
  <c r="Y17" i="52"/>
  <c r="AA16" i="52"/>
  <c r="Z16" i="52"/>
  <c r="Y16" i="52"/>
  <c r="AA41" i="51"/>
  <c r="AA17" i="51" s="1"/>
  <c r="Z41" i="51"/>
  <c r="Z17" i="51" s="1"/>
  <c r="Y41" i="51"/>
  <c r="Y17" i="51" s="1"/>
  <c r="AA39" i="51"/>
  <c r="Z39" i="51"/>
  <c r="Y39" i="51"/>
  <c r="Y43" i="51" s="1"/>
  <c r="Y50" i="51" s="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Y41" i="32"/>
  <c r="Y17" i="32" s="1"/>
  <c r="AA39" i="32"/>
  <c r="AA43" i="32" s="1"/>
  <c r="AA50" i="32" s="1"/>
  <c r="Z39" i="32"/>
  <c r="Y39" i="32"/>
  <c r="AA30" i="32"/>
  <c r="Z30" i="32"/>
  <c r="Y30" i="32"/>
  <c r="AA18" i="32"/>
  <c r="Z18" i="32"/>
  <c r="Y18" i="32"/>
  <c r="AA17" i="32"/>
  <c r="AA64" i="32" s="1"/>
  <c r="AA16" i="32"/>
  <c r="Z16" i="32"/>
  <c r="Y16" i="32"/>
  <c r="G44" i="56" l="1"/>
  <c r="G51" i="56" s="1"/>
  <c r="Z44" i="53"/>
  <c r="Z51" i="53" s="1"/>
  <c r="Z65" i="53" s="1"/>
  <c r="AA44" i="53"/>
  <c r="AA51" i="53" s="1"/>
  <c r="AA65" i="53" s="1"/>
  <c r="Y44" i="52"/>
  <c r="Y51" i="52" s="1"/>
  <c r="Z43" i="51"/>
  <c r="Z50" i="51" s="1"/>
  <c r="Z64" i="51" s="1"/>
  <c r="AA43" i="51"/>
  <c r="AA50" i="51" s="1"/>
  <c r="Y44" i="46"/>
  <c r="Y51" i="46" s="1"/>
  <c r="Z25" i="32"/>
  <c r="Y43" i="32"/>
  <c r="Y50" i="32" s="1"/>
  <c r="M43" i="48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Y65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26" i="53"/>
  <c r="AA26" i="53"/>
  <c r="AA53" i="53" s="1"/>
  <c r="AA62" i="53" s="1"/>
  <c r="Y26" i="53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AA25" i="32"/>
  <c r="AA52" i="32" s="1"/>
  <c r="AA61" i="32" s="1"/>
  <c r="Z53" i="53" l="1"/>
  <c r="Z62" i="53" s="1"/>
  <c r="Y53" i="53"/>
  <c r="Y62" i="53" s="1"/>
  <c r="Y52" i="32"/>
  <c r="Y61" i="32" s="1"/>
  <c r="M52" i="48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X42" i="52"/>
  <c r="W42" i="52"/>
  <c r="V42" i="52"/>
  <c r="V17" i="52" s="1"/>
  <c r="X40" i="52"/>
  <c r="X44" i="52" s="1"/>
  <c r="X51" i="52" s="1"/>
  <c r="X65" i="52" s="1"/>
  <c r="W40" i="52"/>
  <c r="W44" i="52" s="1"/>
  <c r="W51" i="52" s="1"/>
  <c r="W65" i="52" s="1"/>
  <c r="V40" i="52"/>
  <c r="X30" i="52"/>
  <c r="W30" i="52"/>
  <c r="V30" i="52"/>
  <c r="X18" i="52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X41" i="32"/>
  <c r="W41" i="32"/>
  <c r="W17" i="32" s="1"/>
  <c r="V41" i="32"/>
  <c r="V17" i="32" s="1"/>
  <c r="V25" i="32" s="1"/>
  <c r="X39" i="32"/>
  <c r="W39" i="32"/>
  <c r="V39" i="32"/>
  <c r="X30" i="32"/>
  <c r="W30" i="32"/>
  <c r="V30" i="32"/>
  <c r="X18" i="32"/>
  <c r="W18" i="32"/>
  <c r="V18" i="32"/>
  <c r="X16" i="32"/>
  <c r="W16" i="32"/>
  <c r="V16" i="32"/>
  <c r="V26" i="52" l="1"/>
  <c r="V44" i="52"/>
  <c r="V51" i="52" s="1"/>
  <c r="V65" i="52" s="1"/>
  <c r="X26" i="52"/>
  <c r="X53" i="52" s="1"/>
  <c r="X62" i="52" s="1"/>
  <c r="W25" i="51"/>
  <c r="V43" i="32"/>
  <c r="V50" i="32" s="1"/>
  <c r="V52" i="32" s="1"/>
  <c r="V61" i="32" s="1"/>
  <c r="W25" i="32"/>
  <c r="W52" i="32" s="1"/>
  <c r="W61" i="32" s="1"/>
  <c r="X43" i="32"/>
  <c r="X50" i="32" s="1"/>
  <c r="W43" i="32"/>
  <c r="W50" i="32" s="1"/>
  <c r="W64" i="32" s="1"/>
  <c r="Q44" i="54"/>
  <c r="Q51" i="54" s="1"/>
  <c r="Q65" i="54" s="1"/>
  <c r="V44" i="46"/>
  <c r="V51" i="46" s="1"/>
  <c r="P53" i="54"/>
  <c r="P62" i="54" s="1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V53" i="52"/>
  <c r="V62" i="52" s="1"/>
  <c r="W53" i="52"/>
  <c r="W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W53" i="53" l="1"/>
  <c r="W62" i="53" s="1"/>
  <c r="V64" i="32"/>
  <c r="X52" i="5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T17" i="46" s="1"/>
  <c r="S42" i="46"/>
  <c r="S17" i="46" s="1"/>
  <c r="U40" i="46"/>
  <c r="U44" i="46" s="1"/>
  <c r="U51" i="46" s="1"/>
  <c r="T40" i="46"/>
  <c r="S40" i="46"/>
  <c r="U30" i="46"/>
  <c r="T30" i="46"/>
  <c r="S30" i="46"/>
  <c r="U18" i="46"/>
  <c r="T18" i="46"/>
  <c r="S18" i="46"/>
  <c r="U16" i="46"/>
  <c r="T16" i="46"/>
  <c r="S16" i="46"/>
  <c r="U41" i="32"/>
  <c r="U17" i="32" s="1"/>
  <c r="T41" i="32"/>
  <c r="T17" i="32" s="1"/>
  <c r="T25" i="32" s="1"/>
  <c r="S41" i="32"/>
  <c r="S17" i="32" s="1"/>
  <c r="U39" i="32"/>
  <c r="T39" i="32"/>
  <c r="S39" i="32"/>
  <c r="U30" i="32"/>
  <c r="T30" i="32"/>
  <c r="S30" i="32"/>
  <c r="U18" i="32"/>
  <c r="T18" i="32"/>
  <c r="S18" i="32"/>
  <c r="U16" i="32"/>
  <c r="T16" i="32"/>
  <c r="S16" i="32"/>
  <c r="S64" i="51" l="1"/>
  <c r="S44" i="46"/>
  <c r="S51" i="46" s="1"/>
  <c r="T44" i="46"/>
  <c r="T51" i="46" s="1"/>
  <c r="T43" i="32"/>
  <c r="T50" i="32" s="1"/>
  <c r="T52" i="32" s="1"/>
  <c r="T61" i="32" s="1"/>
  <c r="U43" i="32"/>
  <c r="U50" i="32" s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U64" i="32"/>
  <c r="S25" i="32"/>
  <c r="S52" i="32" s="1"/>
  <c r="S61" i="32" s="1"/>
  <c r="U25" i="32"/>
  <c r="U52" i="32" s="1"/>
  <c r="U61" i="32" s="1"/>
  <c r="T52" i="51" l="1"/>
  <c r="T61" i="51" s="1"/>
  <c r="T64" i="32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R44" i="52" l="1"/>
  <c r="R51" i="52" s="1"/>
  <c r="R26" i="46"/>
  <c r="Q65" i="52"/>
  <c r="R43" i="32"/>
  <c r="R50" i="32" s="1"/>
  <c r="P26" i="52"/>
  <c r="P53" i="52" s="1"/>
  <c r="P62" i="52" s="1"/>
  <c r="Q44" i="53"/>
  <c r="Q51" i="53" s="1"/>
  <c r="Q65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P65" i="46" s="1"/>
  <c r="J52" i="49"/>
  <c r="J61" i="49" s="1"/>
  <c r="Q44" i="46"/>
  <c r="Q51" i="46" s="1"/>
  <c r="Q65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26" i="53"/>
  <c r="Q53" i="53" s="1"/>
  <c r="Q62" i="53" s="1"/>
  <c r="R17" i="52"/>
  <c r="Q26" i="52"/>
  <c r="Q53" i="52" s="1"/>
  <c r="Q62" i="52" s="1"/>
  <c r="Q64" i="51"/>
  <c r="R25" i="51"/>
  <c r="R43" i="51"/>
  <c r="R50" i="51" s="1"/>
  <c r="R64" i="51" s="1"/>
  <c r="Q25" i="51"/>
  <c r="Q52" i="51" s="1"/>
  <c r="Q61" i="51" s="1"/>
  <c r="K52" i="49"/>
  <c r="K61" i="49" s="1"/>
  <c r="K52" i="47"/>
  <c r="K61" i="47" s="1"/>
  <c r="R53" i="46"/>
  <c r="R62" i="46" s="1"/>
  <c r="Q26" i="46"/>
  <c r="Q53" i="46" s="1"/>
  <c r="Q62" i="46" s="1"/>
  <c r="P26" i="46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6" i="53"/>
  <c r="K16" i="53"/>
  <c r="J16" i="53"/>
  <c r="L42" i="52"/>
  <c r="L17" i="52" s="1"/>
  <c r="K42" i="52"/>
  <c r="K17" i="52" s="1"/>
  <c r="J42" i="52"/>
  <c r="L40" i="52"/>
  <c r="L44" i="52" s="1"/>
  <c r="L51" i="52" s="1"/>
  <c r="K40" i="52"/>
  <c r="K44" i="52" s="1"/>
  <c r="K51" i="52" s="1"/>
  <c r="J40" i="52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J44" i="52" l="1"/>
  <c r="J51" i="52" s="1"/>
  <c r="P53" i="46"/>
  <c r="P62" i="46" s="1"/>
  <c r="L43" i="32"/>
  <c r="L50" i="32" s="1"/>
  <c r="L25" i="32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C65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H64" i="47"/>
  <c r="K43" i="32"/>
  <c r="K50" i="32" s="1"/>
  <c r="K64" i="32" s="1"/>
  <c r="L26" i="53"/>
  <c r="I65" i="50"/>
  <c r="K44" i="53"/>
  <c r="K51" i="53" s="1"/>
  <c r="K65" i="53" s="1"/>
  <c r="J26" i="46"/>
  <c r="H64" i="48"/>
  <c r="K43" i="51"/>
  <c r="K50" i="51" s="1"/>
  <c r="K64" i="51" s="1"/>
  <c r="J65" i="52"/>
  <c r="H65" i="54"/>
  <c r="B44" i="56"/>
  <c r="B51" i="56" s="1"/>
  <c r="B65" i="56" s="1"/>
  <c r="J43" i="32"/>
  <c r="J50" i="32" s="1"/>
  <c r="J64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L65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26" i="56"/>
  <c r="B53" i="56" s="1"/>
  <c r="B62" i="56" s="1"/>
  <c r="C26" i="56"/>
  <c r="D26" i="56"/>
  <c r="D53" i="56" s="1"/>
  <c r="D62" i="56" s="1"/>
  <c r="J65" i="53"/>
  <c r="J26" i="53"/>
  <c r="J53" i="53" s="1"/>
  <c r="J62" i="53" s="1"/>
  <c r="K26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25" i="32"/>
  <c r="J25" i="32"/>
  <c r="J52" i="32" s="1"/>
  <c r="J61" i="32" s="1"/>
  <c r="L64" i="32"/>
  <c r="C53" i="56" l="1"/>
  <c r="C62" i="56" s="1"/>
  <c r="K53" i="53"/>
  <c r="K62" i="53" s="1"/>
  <c r="K53" i="46"/>
  <c r="K62" i="46" s="1"/>
  <c r="C52" i="57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F17" i="46" s="1"/>
  <c r="E42" i="46"/>
  <c r="E17" i="46" s="1"/>
  <c r="D42" i="46"/>
  <c r="D17" i="46" s="1"/>
  <c r="C42" i="46"/>
  <c r="B42" i="46"/>
  <c r="B17" i="46" s="1"/>
  <c r="F40" i="46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C17" i="46"/>
  <c r="F16" i="46"/>
  <c r="E16" i="46"/>
  <c r="D16" i="46"/>
  <c r="C16" i="46"/>
  <c r="B16" i="46"/>
  <c r="F41" i="32"/>
  <c r="F17" i="32" s="1"/>
  <c r="E41" i="32"/>
  <c r="E17" i="32" s="1"/>
  <c r="D41" i="32"/>
  <c r="D17" i="32" s="1"/>
  <c r="C41" i="32"/>
  <c r="C17" i="32" s="1"/>
  <c r="B41" i="32"/>
  <c r="F39" i="32"/>
  <c r="E39" i="32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F65" i="53" l="1"/>
  <c r="H65" i="52"/>
  <c r="D44" i="52"/>
  <c r="D51" i="52" s="1"/>
  <c r="D53" i="52" s="1"/>
  <c r="D62" i="52" s="1"/>
  <c r="C43" i="51"/>
  <c r="C50" i="51" s="1"/>
  <c r="C64" i="51" s="1"/>
  <c r="F43" i="51"/>
  <c r="F50" i="51" s="1"/>
  <c r="F44" i="46"/>
  <c r="F51" i="46" s="1"/>
  <c r="E43" i="32"/>
  <c r="E50" i="32" s="1"/>
  <c r="E64" i="32" s="1"/>
  <c r="C53" i="50"/>
  <c r="C62" i="50" s="1"/>
  <c r="F65" i="46"/>
  <c r="G44" i="46"/>
  <c r="G51" i="46" s="1"/>
  <c r="G65" i="46" s="1"/>
  <c r="H43" i="51"/>
  <c r="H50" i="51" s="1"/>
  <c r="H26" i="52"/>
  <c r="H53" i="52" s="1"/>
  <c r="H62" i="52" s="1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H52" i="51" s="1"/>
  <c r="H61" i="51" s="1"/>
  <c r="E49" i="29"/>
  <c r="E56" i="29" s="1"/>
  <c r="E70" i="29" s="1"/>
  <c r="F43" i="32"/>
  <c r="F50" i="32" s="1"/>
  <c r="F64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E64" i="51" s="1"/>
  <c r="F44" i="52"/>
  <c r="F51" i="52" s="1"/>
  <c r="F65" i="52" s="1"/>
  <c r="E44" i="54"/>
  <c r="E51" i="54" s="1"/>
  <c r="E65" i="54" s="1"/>
  <c r="G43" i="32"/>
  <c r="G50" i="32" s="1"/>
  <c r="G64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C64" i="32" s="1"/>
  <c r="D44" i="46"/>
  <c r="D51" i="46" s="1"/>
  <c r="D65" i="46" s="1"/>
  <c r="B44" i="52"/>
  <c r="B51" i="52" s="1"/>
  <c r="B65" i="52" s="1"/>
  <c r="E44" i="46"/>
  <c r="E51" i="46" s="1"/>
  <c r="E65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G44" i="52"/>
  <c r="G51" i="52" s="1"/>
  <c r="G65" i="52" s="1"/>
  <c r="I26" i="52"/>
  <c r="I53" i="52" s="1"/>
  <c r="I62" i="52" s="1"/>
  <c r="I64" i="51"/>
  <c r="G25" i="5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H64" i="32"/>
  <c r="H25" i="32"/>
  <c r="H52" i="32" s="1"/>
  <c r="H61" i="32" s="1"/>
  <c r="I25" i="32"/>
  <c r="I52" i="32" s="1"/>
  <c r="I61" i="32" s="1"/>
  <c r="G25" i="32"/>
  <c r="D53" i="54"/>
  <c r="D62" i="54" s="1"/>
  <c r="D57" i="31"/>
  <c r="D66" i="31" s="1"/>
  <c r="E26" i="46"/>
  <c r="F64" i="51"/>
  <c r="D57" i="29"/>
  <c r="D66" i="29" s="1"/>
  <c r="B69" i="31"/>
  <c r="B65" i="46"/>
  <c r="B52" i="47"/>
  <c r="B61" i="47" s="1"/>
  <c r="E26" i="52"/>
  <c r="D52" i="47"/>
  <c r="D61" i="47" s="1"/>
  <c r="B52" i="48"/>
  <c r="B61" i="48" s="1"/>
  <c r="E65" i="53"/>
  <c r="B30" i="31"/>
  <c r="B57" i="31" s="1"/>
  <c r="B66" i="31" s="1"/>
  <c r="C26" i="46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30" i="29"/>
  <c r="B57" i="29" s="1"/>
  <c r="B66" i="29" s="1"/>
  <c r="C25" i="32"/>
  <c r="C25" i="51"/>
  <c r="C52" i="51" s="1"/>
  <c r="C61" i="51" s="1"/>
  <c r="C26" i="53"/>
  <c r="C53" i="53" s="1"/>
  <c r="C62" i="53" s="1"/>
  <c r="D25" i="32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B26" i="46"/>
  <c r="B53" i="46" s="1"/>
  <c r="B62" i="46" s="1"/>
  <c r="F25" i="51"/>
  <c r="F52" i="51" s="1"/>
  <c r="F61" i="51" s="1"/>
  <c r="B26" i="52"/>
  <c r="F26" i="53"/>
  <c r="F53" i="53" s="1"/>
  <c r="F62" i="53" s="1"/>
  <c r="B53" i="53" l="1"/>
  <c r="B62" i="53" s="1"/>
  <c r="C53" i="46"/>
  <c r="C62" i="46" s="1"/>
  <c r="E53" i="46"/>
  <c r="E62" i="46" s="1"/>
  <c r="G52" i="32"/>
  <c r="G61" i="32" s="1"/>
  <c r="D52" i="32"/>
  <c r="D61" i="32" s="1"/>
  <c r="F52" i="32"/>
  <c r="F61" i="32" s="1"/>
  <c r="C52" i="32"/>
  <c r="C61" i="32" s="1"/>
  <c r="E53" i="52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<sst xmlns="http://schemas.openxmlformats.org/spreadsheetml/2006/main" count="6773" uniqueCount="136">
  <si>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</si>
  <si>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</si>
  <si>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</si>
  <si>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</si>
  <si>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</si>
  <si>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</si>
  <si>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</si>
  <si>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</si>
  <si>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</si>
  <si>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</si>
  <si>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</si>
  <si>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</si>
  <si>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</si>
  <si>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</si>
  <si>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</si>
  <si>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</si>
  <si>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</si>
  <si>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</si>
  <si>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</si>
  <si>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</si>
  <si>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</si>
  <si>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</si>
  <si>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</si>
  <si>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</si>
  <si>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</si>
  <si>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</si>
  <si>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</si>
  <si>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</si>
  <si>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</si>
  <si>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</si>
  <si>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</si>
  <si>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</si>
  <si>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</si>
  <si>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</si>
  <si>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</si>
  <si>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</si>
  <si>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</si>
  <si>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</si>
  <si>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</si>
  <si>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</si>
  <si>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</si>
  <si>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</si>
  <si>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</si>
  <si>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</si>
  <si>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</si>
  <si>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</si>
  <si>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</si>
  <si>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</si>
  <si>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</si>
  <si>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</si>
  <si>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</si>
  <si>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</si>
  <si>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</si>
  <si>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</si>
  <si>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</si>
  <si>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</si>
  <si>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</si>
  <si>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</si>
  <si>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</si>
  <si>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</si>
  <si>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</si>
  <si>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</si>
  <si>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</si>
  <si>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</si>
  <si>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</si>
  <si>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</si>
  <si>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</si>
  <si>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</si>
  <si>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</si>
  <si>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</si>
  <si>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</si>
  <si>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</si>
  <si>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</si>
  <si>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</si>
  <si>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</si>
  <si>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</si>
  <si>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</si>
  <si>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</si>
  <si>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</si>
  <si>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</si>
  <si>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</si>
  <si>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</si>
  <si>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</si>
  <si>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</si>
  <si>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</si>
  <si>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</si>
  <si>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</si>
  <si>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</si>
  <si>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</si>
  <si>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</si>
  <si>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</si>
  <si>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</si>
  <si>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</si>
  <si>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</si>
  <si>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</si>
  <si>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</si>
  <si>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</si>
  <si>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</si>
  <si>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</si>
  <si>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</si>
  <si>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</si>
  <si>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</si>
  <si>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</si>
  <si>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</si>
  <si>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</si>
  <si>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</si>
  <si>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</si>
  <si>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</si>
  <si>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</si>
  <si>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</si>
  <si>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</si>
  <si>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</si>
  <si>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</si>
  <si>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</si>
  <si>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</si>
  <si>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</si>
  <si>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</si>
  <si>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</si>
  <si>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</si>
  <si>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</si>
  <si>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</si>
  <si>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</si>
  <si>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</si>
  <si>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</si>
  <si>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</si>
  <si>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</si>
  <si>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</si>
  <si>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</si>
  <si>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</si>
  <si>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</si>
  <si>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</si>
  <si>
    <t>Qualcomm</t>
  </si>
  <si>
    <t>Intel</t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</si>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</sst>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20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8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14" fillId="8" borderId="1" xfId="1" applyNumberFormat="1" applyFont="1" applyFill="1" applyBorder="1" applyAlignment="1">
      <alignment horizontal="center" vertical="center" wrapText="1"/>
    </xf>
    <xf numFmtId="165" fontId="8" fillId="0" borderId="0" xfId="1" applyNumberForma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50" customWidth="1"/>
    <col min="2" max="4" width="15.6640625" style="2" customWidth="1"/>
    <col min="5" max="5" width="15.6640625" style="46" customWidth="1"/>
    <col min="6" max="6" width="39.6640625" style="1" customWidth="1"/>
    <col min="7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2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6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8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8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8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8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6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6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6" ht="28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8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4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65"/>
  <sheetViews>
    <sheetView workbookViewId="0">
      <pane xSplit="1" ySplit="1" topLeftCell="AO2" activePane="bottomRight" state="frozen"/>
      <selection pane="topRight"/>
      <selection pane="bottomLeft"/>
      <selection pane="bottomRight" activeCell="AP1" sqref="AP1:AR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5" width="15.6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6640625" style="2" customWidth="1"/>
    <col min="29" max="30" width="15.6640625" style="3" customWidth="1"/>
    <col min="31" max="31" width="15.6640625" style="2" customWidth="1"/>
    <col min="32" max="33" width="15.6640625" style="3" customWidth="1"/>
    <col min="34" max="34" width="15.6640625" style="194" customWidth="1"/>
    <col min="35" max="35" width="15.6640625" style="3" customWidth="1"/>
    <col min="36" max="36" width="15.58203125" style="2" customWidth="1"/>
    <col min="37" max="38" width="15.58203125" style="3" customWidth="1"/>
    <col min="39" max="39" width="15.58203125" style="2" customWidth="1"/>
    <col min="40" max="41" width="15.58203125" style="3" customWidth="1"/>
    <col min="42" max="42" width="17.5" style="3" customWidth="1"/>
    <col min="43" max="43" width="16.9140625" style="3" customWidth="1"/>
    <col min="44" max="44" width="20.83203125" style="3" customWidth="1"/>
    <col min="45" max="16384" width="9" style="3"/>
  </cols>
  <sheetData>
    <row r="1" spans="1:44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117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133</v>
      </c>
      <c r="AC1" s="205"/>
      <c r="AD1" s="205"/>
      <c r="AE1" s="205" t="s">
        <v>131</v>
      </c>
      <c r="AF1" s="205"/>
      <c r="AG1" s="205"/>
      <c r="AH1" s="205" t="s">
        <v>132</v>
      </c>
      <c r="AI1" s="205"/>
      <c r="AJ1" s="205" t="s">
        <v>134</v>
      </c>
      <c r="AK1" s="205"/>
      <c r="AL1" s="205"/>
      <c r="AM1" s="205" t="s">
        <v>135</v>
      </c>
      <c r="AN1" s="205"/>
      <c r="AO1" s="205"/>
      <c r="AP1" s="205" t="s">
        <v>130</v>
      </c>
      <c r="AQ1" s="205"/>
      <c r="AR1" s="205"/>
    </row>
    <row r="2" spans="1:44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4" t="s">
        <v>102</v>
      </c>
      <c r="AK2" s="185" t="s">
        <v>103</v>
      </c>
      <c r="AL2" s="185" t="s">
        <v>104</v>
      </c>
      <c r="AM2" s="184" t="s">
        <v>102</v>
      </c>
      <c r="AN2" s="185" t="s">
        <v>103</v>
      </c>
      <c r="AO2" s="185" t="s">
        <v>104</v>
      </c>
      <c r="AP2" s="184" t="s">
        <v>102</v>
      </c>
      <c r="AQ2" s="185" t="s">
        <v>103</v>
      </c>
      <c r="AR2" s="185" t="s">
        <v>104</v>
      </c>
    </row>
    <row r="3" spans="1:44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  <c r="AM3" s="178">
        <v>4</v>
      </c>
      <c r="AN3" s="178">
        <v>4</v>
      </c>
      <c r="AO3" s="178">
        <v>4</v>
      </c>
      <c r="AP3" s="178">
        <v>4</v>
      </c>
      <c r="AQ3" s="178">
        <v>4</v>
      </c>
      <c r="AR3" s="178">
        <v>4</v>
      </c>
    </row>
    <row r="4" spans="1:44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  <c r="AJ4" s="178">
        <v>100</v>
      </c>
      <c r="AK4" s="178">
        <v>100</v>
      </c>
      <c r="AL4" s="178">
        <v>100</v>
      </c>
      <c r="AM4" s="178">
        <v>100</v>
      </c>
      <c r="AN4" s="178">
        <v>100</v>
      </c>
      <c r="AO4" s="178">
        <v>100</v>
      </c>
      <c r="AP4" s="178">
        <v>100</v>
      </c>
      <c r="AQ4" s="178">
        <v>100</v>
      </c>
      <c r="AR4" s="178">
        <v>100</v>
      </c>
    </row>
    <row r="5" spans="1:44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  <c r="AJ5" s="183" t="s">
        <v>16</v>
      </c>
      <c r="AK5" s="183" t="s">
        <v>16</v>
      </c>
      <c r="AL5" s="183" t="s">
        <v>16</v>
      </c>
      <c r="AM5" s="183" t="s">
        <v>16</v>
      </c>
      <c r="AN5" s="183" t="s">
        <v>16</v>
      </c>
      <c r="AO5" s="183" t="s">
        <v>16</v>
      </c>
      <c r="AP5" s="183" t="s">
        <v>16</v>
      </c>
      <c r="AQ5" s="183" t="s">
        <v>16</v>
      </c>
      <c r="AR5" s="183" t="s">
        <v>16</v>
      </c>
    </row>
    <row r="6" spans="1:44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  <c r="AJ6" s="178" t="s">
        <v>16</v>
      </c>
      <c r="AK6" s="178" t="s">
        <v>16</v>
      </c>
      <c r="AL6" s="178" t="s">
        <v>16</v>
      </c>
      <c r="AM6" s="178" t="s">
        <v>16</v>
      </c>
      <c r="AN6" s="178" t="s">
        <v>16</v>
      </c>
      <c r="AO6" s="178" t="s">
        <v>16</v>
      </c>
      <c r="AP6" s="178" t="s">
        <v>16</v>
      </c>
      <c r="AQ6" s="178" t="s">
        <v>16</v>
      </c>
      <c r="AR6" s="178" t="s">
        <v>16</v>
      </c>
    </row>
    <row r="7" spans="1:44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  <c r="AJ7" s="183" t="s">
        <v>16</v>
      </c>
      <c r="AK7" s="183" t="s">
        <v>16</v>
      </c>
      <c r="AL7" s="183" t="s">
        <v>16</v>
      </c>
      <c r="AM7" s="183" t="s">
        <v>16</v>
      </c>
      <c r="AN7" s="183" t="s">
        <v>16</v>
      </c>
      <c r="AO7" s="183" t="s">
        <v>16</v>
      </c>
      <c r="AP7" s="183" t="s">
        <v>16</v>
      </c>
      <c r="AQ7" s="183" t="s">
        <v>16</v>
      </c>
      <c r="AR7" s="183" t="s">
        <v>16</v>
      </c>
    </row>
    <row r="8" spans="1:44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  <c r="AJ8" s="181">
        <v>0.1</v>
      </c>
      <c r="AK8" s="181">
        <v>0.1</v>
      </c>
      <c r="AL8" s="181">
        <v>0.1</v>
      </c>
      <c r="AM8" s="181">
        <v>0.1</v>
      </c>
      <c r="AN8" s="181">
        <v>0.1</v>
      </c>
      <c r="AO8" s="181">
        <v>0.1</v>
      </c>
      <c r="AP8" s="181">
        <v>0.1</v>
      </c>
      <c r="AQ8" s="181">
        <v>0.1</v>
      </c>
      <c r="AR8" s="181">
        <v>0.1</v>
      </c>
    </row>
    <row r="9" spans="1:44" ht="2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  <c r="AJ9" s="178" t="s">
        <v>22</v>
      </c>
      <c r="AK9" s="178" t="s">
        <v>22</v>
      </c>
      <c r="AL9" s="178" t="s">
        <v>22</v>
      </c>
      <c r="AM9" s="178" t="s">
        <v>22</v>
      </c>
      <c r="AN9" s="178" t="s">
        <v>22</v>
      </c>
      <c r="AO9" s="178" t="s">
        <v>22</v>
      </c>
      <c r="AP9" s="178" t="s">
        <v>22</v>
      </c>
      <c r="AQ9" s="178" t="s">
        <v>22</v>
      </c>
      <c r="AR9" s="178" t="s">
        <v>22</v>
      </c>
    </row>
    <row r="10" spans="1:44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  <c r="AJ10" s="178">
        <v>3</v>
      </c>
      <c r="AK10" s="178">
        <v>3</v>
      </c>
      <c r="AL10" s="178">
        <v>3</v>
      </c>
      <c r="AM10" s="178">
        <v>3</v>
      </c>
      <c r="AN10" s="178">
        <v>3</v>
      </c>
      <c r="AO10" s="178">
        <v>3</v>
      </c>
      <c r="AP10" s="178">
        <v>3</v>
      </c>
      <c r="AQ10" s="178">
        <v>3</v>
      </c>
      <c r="AR10" s="178">
        <v>3</v>
      </c>
    </row>
    <row r="11" spans="1:4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  <c r="AJ11" s="177"/>
      <c r="AK11" s="177"/>
      <c r="AL11" s="177"/>
      <c r="AM11" s="177"/>
      <c r="AN11" s="177"/>
      <c r="AO11" s="177"/>
      <c r="AP11" s="177"/>
      <c r="AQ11" s="177"/>
      <c r="AR11" s="177"/>
    </row>
    <row r="12" spans="1:4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  <c r="AJ12" s="164">
        <v>192</v>
      </c>
      <c r="AK12" s="164">
        <v>192</v>
      </c>
      <c r="AL12" s="164">
        <v>192</v>
      </c>
      <c r="AM12" s="164">
        <v>192</v>
      </c>
      <c r="AN12" s="164">
        <v>192</v>
      </c>
      <c r="AO12" s="164">
        <v>192</v>
      </c>
      <c r="AP12" s="164">
        <v>192</v>
      </c>
      <c r="AQ12" s="164">
        <v>192</v>
      </c>
      <c r="AR12" s="164">
        <v>192</v>
      </c>
    </row>
    <row r="13" spans="1:44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  <c r="AJ13" s="164">
        <v>64</v>
      </c>
      <c r="AK13" s="164">
        <v>64</v>
      </c>
      <c r="AL13" s="164">
        <v>64</v>
      </c>
      <c r="AM13" s="164">
        <v>64</v>
      </c>
      <c r="AN13" s="164">
        <v>64</v>
      </c>
      <c r="AO13" s="164">
        <v>64</v>
      </c>
      <c r="AP13" s="164">
        <v>64</v>
      </c>
      <c r="AQ13" s="164">
        <v>64</v>
      </c>
      <c r="AR13" s="164">
        <v>64</v>
      </c>
    </row>
    <row r="14" spans="1:44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  <c r="AJ14" s="163">
        <v>4</v>
      </c>
      <c r="AK14" s="163">
        <v>4</v>
      </c>
      <c r="AL14" s="163">
        <v>4</v>
      </c>
      <c r="AM14" s="163">
        <v>4</v>
      </c>
      <c r="AN14" s="163">
        <v>4</v>
      </c>
      <c r="AO14" s="163">
        <v>4</v>
      </c>
      <c r="AP14" s="163">
        <v>4</v>
      </c>
      <c r="AQ14" s="163">
        <v>4</v>
      </c>
      <c r="AR14" s="163">
        <v>4</v>
      </c>
    </row>
    <row r="15" spans="1:44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  <c r="AJ15" s="163">
        <v>24</v>
      </c>
      <c r="AK15" s="163">
        <v>24</v>
      </c>
      <c r="AL15" s="163">
        <v>24</v>
      </c>
      <c r="AM15" s="163">
        <v>24</v>
      </c>
      <c r="AN15" s="163">
        <v>24</v>
      </c>
      <c r="AO15" s="163">
        <v>24</v>
      </c>
      <c r="AP15" s="163">
        <v>33</v>
      </c>
      <c r="AQ15" s="163">
        <v>33</v>
      </c>
      <c r="AR15" s="163">
        <v>33</v>
      </c>
    </row>
    <row r="16" spans="1:44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78">
        <f t="shared" ref="AE16:AR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  <c r="AJ16" s="178">
        <f t="shared" si="3"/>
        <v>44</v>
      </c>
      <c r="AK16" s="178">
        <f t="shared" si="3"/>
        <v>44</v>
      </c>
      <c r="AL16" s="178">
        <f t="shared" si="3"/>
        <v>44</v>
      </c>
      <c r="AM16" s="178">
        <f t="shared" si="3"/>
        <v>44</v>
      </c>
      <c r="AN16" s="178">
        <f t="shared" si="3"/>
        <v>44</v>
      </c>
      <c r="AO16" s="178">
        <f t="shared" si="3"/>
        <v>44</v>
      </c>
      <c r="AP16" s="178">
        <f t="shared" si="3"/>
        <v>53</v>
      </c>
      <c r="AQ16" s="178">
        <f t="shared" si="3"/>
        <v>53</v>
      </c>
      <c r="AR16" s="178">
        <f t="shared" si="3"/>
        <v>53</v>
      </c>
    </row>
    <row r="17" spans="1:44" ht="28">
      <c r="A17" s="8" t="s">
        <v>35</v>
      </c>
      <c r="B17" s="29">
        <f t="shared" ref="B17:L17" si="4">B15+10*LOG10(B42/1000000)</f>
        <v>34.583624920952495</v>
      </c>
      <c r="C17" s="29">
        <f t="shared" si="4"/>
        <v>34.583624920952495</v>
      </c>
      <c r="D17" s="29">
        <f t="shared" si="4"/>
        <v>34.583624920952495</v>
      </c>
      <c r="E17" s="29">
        <f t="shared" si="4"/>
        <v>24.334237554869496</v>
      </c>
      <c r="F17" s="29">
        <f t="shared" si="4"/>
        <v>24.334237554869496</v>
      </c>
      <c r="G17" s="73">
        <f t="shared" si="4"/>
        <v>24.334237554869496</v>
      </c>
      <c r="H17" s="73">
        <f t="shared" si="4"/>
        <v>24.334237554869496</v>
      </c>
      <c r="I17" s="73">
        <f t="shared" si="4"/>
        <v>24.334237554869496</v>
      </c>
      <c r="J17" s="13">
        <f t="shared" si="4"/>
        <v>34.583624920952495</v>
      </c>
      <c r="K17" s="13">
        <f t="shared" si="4"/>
        <v>34.583624920952495</v>
      </c>
      <c r="L17" s="13">
        <f t="shared" si="4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5">P15+10*LOG10(P42/1000000)</f>
        <v>39.354837468149121</v>
      </c>
      <c r="Q17" s="164">
        <f t="shared" si="5"/>
        <v>39.354837468149121</v>
      </c>
      <c r="R17" s="164">
        <f t="shared" si="5"/>
        <v>39.354837468149121</v>
      </c>
      <c r="S17" s="166">
        <f t="shared" si="5"/>
        <v>24.334237554869496</v>
      </c>
      <c r="T17" s="166">
        <f t="shared" si="5"/>
        <v>24.334237554869496</v>
      </c>
      <c r="U17" s="166">
        <f t="shared" si="5"/>
        <v>24.334237554869496</v>
      </c>
      <c r="V17" s="166">
        <f t="shared" ref="V17:AA17" si="6">V15+10*LOG10(V42/1000000)</f>
        <v>41.115750058705935</v>
      </c>
      <c r="W17" s="166">
        <f t="shared" si="6"/>
        <v>41.115750058705935</v>
      </c>
      <c r="X17" s="166">
        <f t="shared" si="6"/>
        <v>41.115750058705935</v>
      </c>
      <c r="Y17" s="166">
        <f t="shared" si="6"/>
        <v>24.334237554869496</v>
      </c>
      <c r="Z17" s="166">
        <f t="shared" si="6"/>
        <v>24.334237554869496</v>
      </c>
      <c r="AA17" s="166">
        <f t="shared" si="6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  <c r="AE17" s="178">
        <f t="shared" ref="AE17:AR17" si="7">AE15+10*LOG10(AE42/1000000)</f>
        <v>24.334237554869496</v>
      </c>
      <c r="AF17" s="178">
        <f t="shared" si="7"/>
        <v>24.334237554869496</v>
      </c>
      <c r="AG17" s="178">
        <f t="shared" si="7"/>
        <v>24.334237554869496</v>
      </c>
      <c r="AH17" s="164">
        <f t="shared" si="7"/>
        <v>24.334237554869496</v>
      </c>
      <c r="AI17" s="164">
        <f t="shared" si="7"/>
        <v>24.334237554869496</v>
      </c>
      <c r="AJ17" s="178">
        <f t="shared" si="7"/>
        <v>27.344537511509309</v>
      </c>
      <c r="AK17" s="178">
        <f t="shared" si="7"/>
        <v>27.344537511509309</v>
      </c>
      <c r="AL17" s="178">
        <f t="shared" si="7"/>
        <v>27.344537511509309</v>
      </c>
      <c r="AM17" s="178">
        <f t="shared" si="7"/>
        <v>30.354837468149121</v>
      </c>
      <c r="AN17" s="178">
        <f t="shared" si="7"/>
        <v>30.354837468149121</v>
      </c>
      <c r="AO17" s="178">
        <f t="shared" si="7"/>
        <v>30.354837468149121</v>
      </c>
      <c r="AP17" s="178">
        <f t="shared" si="7"/>
        <v>33.334237554869496</v>
      </c>
      <c r="AQ17" s="178">
        <f t="shared" si="7"/>
        <v>33.334237554869496</v>
      </c>
      <c r="AR17" s="178">
        <f t="shared" si="7"/>
        <v>33.334237554869496</v>
      </c>
    </row>
    <row r="18" spans="1:44" ht="42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R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  <c r="AJ18" s="178">
        <f t="shared" si="11"/>
        <v>8.7712125471966242</v>
      </c>
      <c r="AK18" s="178">
        <f t="shared" si="11"/>
        <v>8.7712125471966242</v>
      </c>
      <c r="AL18" s="178">
        <f t="shared" si="11"/>
        <v>8.7712125471966242</v>
      </c>
      <c r="AM18" s="178">
        <f t="shared" si="11"/>
        <v>8.7712125471966242</v>
      </c>
      <c r="AN18" s="178">
        <f t="shared" si="11"/>
        <v>8.7712125471966242</v>
      </c>
      <c r="AO18" s="178">
        <f t="shared" si="11"/>
        <v>8.7712125471966242</v>
      </c>
      <c r="AP18" s="178">
        <f t="shared" si="11"/>
        <v>12.771212547196624</v>
      </c>
      <c r="AQ18" s="178">
        <f t="shared" si="11"/>
        <v>12.771212547196624</v>
      </c>
      <c r="AR18" s="178">
        <f t="shared" si="11"/>
        <v>12.771212547196624</v>
      </c>
    </row>
    <row r="19" spans="1:44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  <c r="AJ19" s="178">
        <v>8</v>
      </c>
      <c r="AK19" s="178">
        <v>8</v>
      </c>
      <c r="AL19" s="178">
        <v>8</v>
      </c>
      <c r="AM19" s="178">
        <v>8</v>
      </c>
      <c r="AN19" s="178">
        <v>8</v>
      </c>
      <c r="AO19" s="178">
        <v>8</v>
      </c>
      <c r="AP19" s="178">
        <v>8</v>
      </c>
      <c r="AQ19" s="178">
        <v>8</v>
      </c>
      <c r="AR19" s="178">
        <v>8</v>
      </c>
    </row>
    <row r="20" spans="1:44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  <c r="AJ20" s="186">
        <v>4</v>
      </c>
      <c r="AK20" s="186">
        <v>4</v>
      </c>
      <c r="AL20" s="186">
        <v>4</v>
      </c>
      <c r="AM20" s="186">
        <v>4</v>
      </c>
      <c r="AN20" s="186">
        <v>4</v>
      </c>
      <c r="AO20" s="186">
        <v>4</v>
      </c>
      <c r="AP20" s="186">
        <v>0</v>
      </c>
      <c r="AQ20" s="186">
        <v>0</v>
      </c>
      <c r="AR20" s="186">
        <v>0</v>
      </c>
    </row>
    <row r="21" spans="1:44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  <c r="AJ21" s="182">
        <v>6</v>
      </c>
      <c r="AK21" s="182">
        <v>6</v>
      </c>
      <c r="AL21" s="182">
        <v>6</v>
      </c>
      <c r="AM21" s="182">
        <v>6</v>
      </c>
      <c r="AN21" s="182">
        <v>6</v>
      </c>
      <c r="AO21" s="182">
        <v>6</v>
      </c>
      <c r="AP21" s="182">
        <v>8</v>
      </c>
      <c r="AQ21" s="182">
        <v>8</v>
      </c>
      <c r="AR21" s="182">
        <v>8</v>
      </c>
    </row>
    <row r="22" spans="1:44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  <c r="AP22" s="178">
        <v>0</v>
      </c>
      <c r="AQ22" s="178">
        <v>0</v>
      </c>
      <c r="AR22" s="178">
        <v>0</v>
      </c>
    </row>
    <row r="23" spans="1:44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  <c r="AP23" s="178">
        <v>0</v>
      </c>
      <c r="AQ23" s="178">
        <v>0</v>
      </c>
      <c r="AR23" s="178">
        <v>0</v>
      </c>
    </row>
    <row r="24" spans="1:44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  <c r="AJ24" s="178">
        <v>3</v>
      </c>
      <c r="AK24" s="178">
        <v>3</v>
      </c>
      <c r="AL24" s="178">
        <v>3</v>
      </c>
      <c r="AM24" s="178">
        <v>3</v>
      </c>
      <c r="AN24" s="178">
        <v>3</v>
      </c>
      <c r="AO24" s="178">
        <v>3</v>
      </c>
      <c r="AP24" s="178">
        <v>3</v>
      </c>
      <c r="AQ24" s="178">
        <v>3</v>
      </c>
      <c r="AR24" s="178">
        <v>3</v>
      </c>
    </row>
    <row r="25" spans="1:44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  <c r="AJ25" s="183" t="s">
        <v>16</v>
      </c>
      <c r="AK25" s="183" t="s">
        <v>16</v>
      </c>
      <c r="AL25" s="183" t="s">
        <v>16</v>
      </c>
      <c r="AM25" s="183" t="s">
        <v>16</v>
      </c>
      <c r="AN25" s="183" t="s">
        <v>16</v>
      </c>
      <c r="AO25" s="183" t="s">
        <v>16</v>
      </c>
      <c r="AP25" s="183" t="s">
        <v>16</v>
      </c>
      <c r="AQ25" s="183" t="s">
        <v>16</v>
      </c>
      <c r="AR25" s="183" t="s">
        <v>16</v>
      </c>
    </row>
    <row r="26" spans="1:44">
      <c r="A26" s="8" t="s">
        <v>51</v>
      </c>
      <c r="B26" s="29">
        <f t="shared" ref="B26:L26" si="13">B17+B18+B21-B23-B24</f>
        <v>52.354837468149121</v>
      </c>
      <c r="C26" s="29">
        <f t="shared" si="13"/>
        <v>52.354837468149121</v>
      </c>
      <c r="D26" s="29">
        <f t="shared" si="13"/>
        <v>52.354837468149121</v>
      </c>
      <c r="E26" s="29">
        <f t="shared" si="13"/>
        <v>32.765450102066119</v>
      </c>
      <c r="F26" s="29">
        <f t="shared" si="13"/>
        <v>32.765450102066119</v>
      </c>
      <c r="G26" s="73">
        <f t="shared" si="13"/>
        <v>42.105450102066122</v>
      </c>
      <c r="H26" s="73">
        <f t="shared" si="13"/>
        <v>42.105450102066122</v>
      </c>
      <c r="I26" s="73">
        <f t="shared" si="13"/>
        <v>42.105450102066122</v>
      </c>
      <c r="J26" s="13">
        <f t="shared" si="13"/>
        <v>48.756337251348185</v>
      </c>
      <c r="K26" s="13">
        <f t="shared" si="13"/>
        <v>48.756337251348185</v>
      </c>
      <c r="L26" s="13">
        <f t="shared" si="13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4">P17+P18+P21-P23-P24</f>
        <v>64.176050015345751</v>
      </c>
      <c r="Q26" s="164">
        <f t="shared" si="14"/>
        <v>64.176050015345751</v>
      </c>
      <c r="R26" s="164">
        <f t="shared" si="14"/>
        <v>64.176050015345751</v>
      </c>
      <c r="S26" s="166">
        <f t="shared" si="14"/>
        <v>42.105450102066122</v>
      </c>
      <c r="T26" s="166">
        <f t="shared" si="14"/>
        <v>42.105450102066122</v>
      </c>
      <c r="U26" s="166">
        <f t="shared" si="14"/>
        <v>42.105450102066122</v>
      </c>
      <c r="V26" s="166">
        <f t="shared" ref="V26:AA26" si="15">V17+V18+V21-V23-V24</f>
        <v>58.886962605902561</v>
      </c>
      <c r="W26" s="166">
        <f t="shared" si="15"/>
        <v>58.886962605902561</v>
      </c>
      <c r="X26" s="166">
        <f t="shared" si="15"/>
        <v>58.886962605902561</v>
      </c>
      <c r="Y26" s="166">
        <f t="shared" si="15"/>
        <v>42.105450102066122</v>
      </c>
      <c r="Z26" s="166">
        <f t="shared" si="15"/>
        <v>42.105450102066122</v>
      </c>
      <c r="AA26" s="166">
        <f t="shared" si="15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  <c r="AE26" s="178">
        <f t="shared" ref="AE26:AR26" si="16">AE17+AE18+AE21-AE23-AE24</f>
        <v>41.105450102066122</v>
      </c>
      <c r="AF26" s="178">
        <f t="shared" si="16"/>
        <v>41.105450102066122</v>
      </c>
      <c r="AG26" s="178">
        <f t="shared" si="16"/>
        <v>41.105450102066122</v>
      </c>
      <c r="AH26" s="164">
        <f t="shared" si="16"/>
        <v>41.395450102066121</v>
      </c>
      <c r="AI26" s="164">
        <f t="shared" si="16"/>
        <v>41.395450102066121</v>
      </c>
      <c r="AJ26" s="178">
        <f t="shared" si="16"/>
        <v>39.115750058705935</v>
      </c>
      <c r="AK26" s="178">
        <f t="shared" si="16"/>
        <v>39.115750058705935</v>
      </c>
      <c r="AL26" s="178">
        <f t="shared" si="16"/>
        <v>39.115750058705935</v>
      </c>
      <c r="AM26" s="178">
        <f t="shared" si="16"/>
        <v>42.126050015345747</v>
      </c>
      <c r="AN26" s="178">
        <f t="shared" si="16"/>
        <v>42.126050015345747</v>
      </c>
      <c r="AO26" s="178">
        <f t="shared" si="16"/>
        <v>42.126050015345747</v>
      </c>
      <c r="AP26" s="178">
        <f t="shared" si="16"/>
        <v>51.105450102066122</v>
      </c>
      <c r="AQ26" s="178">
        <f t="shared" si="16"/>
        <v>51.105450102066122</v>
      </c>
      <c r="AR26" s="178">
        <f t="shared" si="16"/>
        <v>51.105450102066122</v>
      </c>
    </row>
    <row r="27" spans="1:4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  <c r="AJ27" s="177"/>
      <c r="AK27" s="177"/>
      <c r="AL27" s="177"/>
      <c r="AM27" s="177"/>
      <c r="AN27" s="177"/>
      <c r="AO27" s="177"/>
      <c r="AP27" s="177"/>
      <c r="AQ27" s="177"/>
      <c r="AR27" s="177"/>
    </row>
    <row r="28" spans="1:44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  <c r="AJ28" s="178">
        <v>4</v>
      </c>
      <c r="AK28" s="178">
        <v>2</v>
      </c>
      <c r="AL28" s="178">
        <v>1</v>
      </c>
      <c r="AM28" s="178">
        <v>4</v>
      </c>
      <c r="AN28" s="178">
        <v>2</v>
      </c>
      <c r="AO28" s="178">
        <v>1</v>
      </c>
      <c r="AP28" s="178">
        <v>4</v>
      </c>
      <c r="AQ28" s="178">
        <v>2</v>
      </c>
      <c r="AR28" s="178">
        <v>1</v>
      </c>
    </row>
    <row r="29" spans="1:44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  <c r="AJ29" s="178">
        <v>4</v>
      </c>
      <c r="AK29" s="178">
        <v>2</v>
      </c>
      <c r="AL29" s="178">
        <v>1</v>
      </c>
      <c r="AM29" s="178">
        <v>4</v>
      </c>
      <c r="AN29" s="178">
        <v>2</v>
      </c>
      <c r="AO29" s="178">
        <v>1</v>
      </c>
      <c r="AP29" s="178">
        <v>4</v>
      </c>
      <c r="AQ29" s="178">
        <v>2</v>
      </c>
      <c r="AR29" s="178">
        <v>1</v>
      </c>
    </row>
    <row r="30" spans="1:44" ht="42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55">
        <v>0</v>
      </c>
      <c r="N30" s="155">
        <v>-3</v>
      </c>
      <c r="O30" s="155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R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  <c r="AJ30" s="178">
        <f t="shared" si="20"/>
        <v>0</v>
      </c>
      <c r="AK30" s="178">
        <f t="shared" si="20"/>
        <v>-3</v>
      </c>
      <c r="AL30" s="178">
        <f t="shared" si="20"/>
        <v>-3</v>
      </c>
      <c r="AM30" s="178">
        <f t="shared" si="20"/>
        <v>0</v>
      </c>
      <c r="AN30" s="178">
        <f t="shared" si="20"/>
        <v>-3</v>
      </c>
      <c r="AO30" s="178">
        <f t="shared" si="20"/>
        <v>-3</v>
      </c>
      <c r="AP30" s="178">
        <f t="shared" si="20"/>
        <v>0</v>
      </c>
      <c r="AQ30" s="178">
        <f t="shared" si="20"/>
        <v>-3</v>
      </c>
      <c r="AR30" s="178">
        <f t="shared" si="20"/>
        <v>-3</v>
      </c>
    </row>
    <row r="31" spans="1:44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  <c r="AJ31" s="178">
        <v>0</v>
      </c>
      <c r="AK31" s="178">
        <v>-3</v>
      </c>
      <c r="AL31" s="178">
        <v>-3</v>
      </c>
      <c r="AM31" s="178">
        <v>0</v>
      </c>
      <c r="AN31" s="178">
        <v>-3</v>
      </c>
      <c r="AO31" s="178">
        <v>-3</v>
      </c>
      <c r="AP31" s="178">
        <v>0</v>
      </c>
      <c r="AQ31" s="178">
        <v>-3</v>
      </c>
      <c r="AR31" s="178">
        <v>-3</v>
      </c>
    </row>
    <row r="32" spans="1:44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  <c r="AJ32" s="178">
        <v>0</v>
      </c>
      <c r="AK32" s="178">
        <v>0</v>
      </c>
      <c r="AL32" s="178">
        <v>0</v>
      </c>
      <c r="AM32" s="178">
        <v>0</v>
      </c>
      <c r="AN32" s="178">
        <v>0</v>
      </c>
      <c r="AO32" s="178">
        <v>0</v>
      </c>
      <c r="AP32" s="178">
        <v>0</v>
      </c>
      <c r="AQ32" s="178">
        <v>0</v>
      </c>
      <c r="AR32" s="178">
        <v>0</v>
      </c>
    </row>
    <row r="33" spans="1:44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  <c r="AJ33" s="178">
        <v>0</v>
      </c>
      <c r="AK33" s="178">
        <v>0</v>
      </c>
      <c r="AL33" s="178">
        <v>0</v>
      </c>
      <c r="AM33" s="178">
        <v>0</v>
      </c>
      <c r="AN33" s="178">
        <v>0</v>
      </c>
      <c r="AO33" s="178">
        <v>0</v>
      </c>
      <c r="AP33" s="178">
        <v>0</v>
      </c>
      <c r="AQ33" s="178">
        <v>0</v>
      </c>
      <c r="AR33" s="178">
        <v>0</v>
      </c>
    </row>
    <row r="34" spans="1:44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  <c r="AJ34" s="178">
        <v>1</v>
      </c>
      <c r="AK34" s="178">
        <v>1</v>
      </c>
      <c r="AL34" s="178">
        <v>1</v>
      </c>
      <c r="AM34" s="178">
        <v>1</v>
      </c>
      <c r="AN34" s="178">
        <v>1</v>
      </c>
      <c r="AO34" s="178">
        <v>1</v>
      </c>
      <c r="AP34" s="178">
        <v>1</v>
      </c>
      <c r="AQ34" s="178">
        <v>1</v>
      </c>
      <c r="AR34" s="178">
        <v>1</v>
      </c>
    </row>
    <row r="35" spans="1:44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  <c r="AJ35" s="178">
        <v>7</v>
      </c>
      <c r="AK35" s="178">
        <v>7</v>
      </c>
      <c r="AL35" s="178">
        <v>7</v>
      </c>
      <c r="AM35" s="178">
        <v>7</v>
      </c>
      <c r="AN35" s="178">
        <v>7</v>
      </c>
      <c r="AO35" s="178">
        <v>7</v>
      </c>
      <c r="AP35" s="178">
        <v>7</v>
      </c>
      <c r="AQ35" s="178">
        <v>7</v>
      </c>
      <c r="AR35" s="178">
        <v>7</v>
      </c>
    </row>
    <row r="36" spans="1:44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  <c r="AJ36" s="178">
        <v>-174</v>
      </c>
      <c r="AK36" s="178">
        <v>-174</v>
      </c>
      <c r="AL36" s="178">
        <v>-174</v>
      </c>
      <c r="AM36" s="178">
        <v>-174</v>
      </c>
      <c r="AN36" s="178">
        <v>-174</v>
      </c>
      <c r="AO36" s="178">
        <v>-174</v>
      </c>
      <c r="AP36" s="178">
        <v>-174</v>
      </c>
      <c r="AQ36" s="178">
        <v>-174</v>
      </c>
      <c r="AR36" s="178">
        <v>-174</v>
      </c>
    </row>
    <row r="37" spans="1:44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  <c r="AJ37" s="178" t="s">
        <v>16</v>
      </c>
      <c r="AK37" s="178" t="s">
        <v>16</v>
      </c>
      <c r="AL37" s="178" t="s">
        <v>16</v>
      </c>
      <c r="AM37" s="178" t="s">
        <v>16</v>
      </c>
      <c r="AN37" s="178" t="s">
        <v>16</v>
      </c>
      <c r="AO37" s="178" t="s">
        <v>16</v>
      </c>
      <c r="AP37" s="178" t="s">
        <v>16</v>
      </c>
      <c r="AQ37" s="178" t="s">
        <v>16</v>
      </c>
      <c r="AR37" s="178" t="s">
        <v>16</v>
      </c>
    </row>
    <row r="38" spans="1:44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  <c r="AJ38" s="186">
        <v>-999</v>
      </c>
      <c r="AK38" s="186">
        <v>-999</v>
      </c>
      <c r="AL38" s="186">
        <v>-999</v>
      </c>
      <c r="AM38" s="186">
        <v>-999</v>
      </c>
      <c r="AN38" s="186">
        <v>-999</v>
      </c>
      <c r="AO38" s="186">
        <v>-999</v>
      </c>
      <c r="AP38" s="186">
        <v>-999</v>
      </c>
      <c r="AQ38" s="186">
        <v>-999</v>
      </c>
      <c r="AR38" s="186">
        <v>-999</v>
      </c>
    </row>
    <row r="39" spans="1:44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  <c r="AJ39" s="183" t="s">
        <v>16</v>
      </c>
      <c r="AK39" s="183" t="s">
        <v>16</v>
      </c>
      <c r="AL39" s="183" t="s">
        <v>16</v>
      </c>
      <c r="AM39" s="183" t="s">
        <v>16</v>
      </c>
      <c r="AN39" s="183" t="s">
        <v>16</v>
      </c>
      <c r="AO39" s="183" t="s">
        <v>16</v>
      </c>
      <c r="AP39" s="183" t="s">
        <v>16</v>
      </c>
      <c r="AQ39" s="183" t="s">
        <v>16</v>
      </c>
      <c r="AR39" s="183" t="s">
        <v>16</v>
      </c>
    </row>
    <row r="40" spans="1:44" ht="28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R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  <c r="AJ40" s="178">
        <f t="shared" si="24"/>
        <v>-167.00000000000003</v>
      </c>
      <c r="AK40" s="178">
        <f t="shared" si="24"/>
        <v>-167.00000000000003</v>
      </c>
      <c r="AL40" s="178">
        <f t="shared" si="24"/>
        <v>-167.00000000000003</v>
      </c>
      <c r="AM40" s="178">
        <f t="shared" si="24"/>
        <v>-167.00000000000003</v>
      </c>
      <c r="AN40" s="178">
        <f t="shared" si="24"/>
        <v>-167.00000000000003</v>
      </c>
      <c r="AO40" s="178">
        <f t="shared" si="24"/>
        <v>-167.00000000000003</v>
      </c>
      <c r="AP40" s="178">
        <f t="shared" si="24"/>
        <v>-167.00000000000003</v>
      </c>
      <c r="AQ40" s="178">
        <f t="shared" si="24"/>
        <v>-167.00000000000003</v>
      </c>
      <c r="AR40" s="178">
        <f t="shared" si="24"/>
        <v>-167.00000000000003</v>
      </c>
    </row>
    <row r="41" spans="1:44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  <c r="AJ41" s="178" t="s">
        <v>16</v>
      </c>
      <c r="AK41" s="178" t="s">
        <v>16</v>
      </c>
      <c r="AL41" s="178" t="s">
        <v>16</v>
      </c>
      <c r="AM41" s="178" t="s">
        <v>16</v>
      </c>
      <c r="AN41" s="178" t="s">
        <v>16</v>
      </c>
      <c r="AO41" s="178" t="s">
        <v>16</v>
      </c>
      <c r="AP41" s="178" t="s">
        <v>16</v>
      </c>
      <c r="AQ41" s="178" t="s">
        <v>16</v>
      </c>
      <c r="AR41" s="178" t="s">
        <v>16</v>
      </c>
    </row>
    <row r="42" spans="1:44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25">3*360*1000</f>
        <v>1080000</v>
      </c>
      <c r="I42" s="76">
        <f t="shared" si="25"/>
        <v>1080000</v>
      </c>
      <c r="J42" s="17">
        <f>4*360*1000</f>
        <v>1440000</v>
      </c>
      <c r="K42" s="17">
        <f t="shared" ref="K42:L42" si="26">4*360*1000</f>
        <v>1440000</v>
      </c>
      <c r="L42" s="17">
        <f t="shared" si="26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7">12*360*1000</f>
        <v>4320000</v>
      </c>
      <c r="R42" s="182">
        <f t="shared" si="27"/>
        <v>4320000</v>
      </c>
      <c r="S42" s="169">
        <f>3*360*1000</f>
        <v>1080000</v>
      </c>
      <c r="T42" s="169">
        <f t="shared" ref="T42:U42" si="28">3*360*1000</f>
        <v>1080000</v>
      </c>
      <c r="U42" s="169">
        <f t="shared" si="28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9">3*360*1000</f>
        <v>1080000</v>
      </c>
      <c r="AA42" s="169">
        <f t="shared" si="29"/>
        <v>1080000</v>
      </c>
      <c r="AB42" s="182">
        <f>3*360*1000</f>
        <v>1080000</v>
      </c>
      <c r="AC42" s="182">
        <f t="shared" ref="AC42:AD42" si="30">3*360*1000</f>
        <v>1080000</v>
      </c>
      <c r="AD42" s="182">
        <f t="shared" si="30"/>
        <v>1080000</v>
      </c>
      <c r="AE42" s="182">
        <f>3*360*1000</f>
        <v>1080000</v>
      </c>
      <c r="AF42" s="182">
        <f t="shared" ref="AF42:AG42" si="31">3*360*1000</f>
        <v>1080000</v>
      </c>
      <c r="AG42" s="182">
        <f t="shared" si="31"/>
        <v>1080000</v>
      </c>
      <c r="AH42" s="169">
        <f>3*360*1000</f>
        <v>1080000</v>
      </c>
      <c r="AI42" s="169">
        <f t="shared" ref="AI42" si="32">3*360*1000</f>
        <v>1080000</v>
      </c>
      <c r="AJ42" s="182">
        <f>6*360*1000</f>
        <v>2160000</v>
      </c>
      <c r="AK42" s="182">
        <f>6*360*1000</f>
        <v>2160000</v>
      </c>
      <c r="AL42" s="182">
        <f>6*360*1000</f>
        <v>2160000</v>
      </c>
      <c r="AM42" s="182">
        <f>12*360*1000</f>
        <v>4320000</v>
      </c>
      <c r="AN42" s="182">
        <f>12*360*1000</f>
        <v>4320000</v>
      </c>
      <c r="AO42" s="182">
        <f>12*360*1000</f>
        <v>4320000</v>
      </c>
      <c r="AP42" s="182">
        <f>3*360*1000</f>
        <v>1080000</v>
      </c>
      <c r="AQ42" s="182">
        <f t="shared" ref="AQ42:AR42" si="33">3*360*1000</f>
        <v>1080000</v>
      </c>
      <c r="AR42" s="182">
        <f t="shared" si="33"/>
        <v>1080000</v>
      </c>
    </row>
    <row r="43" spans="1:44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  <c r="AJ43" s="178" t="s">
        <v>16</v>
      </c>
      <c r="AK43" s="178" t="s">
        <v>16</v>
      </c>
      <c r="AL43" s="178" t="s">
        <v>16</v>
      </c>
      <c r="AM43" s="178" t="s">
        <v>16</v>
      </c>
      <c r="AN43" s="178" t="s">
        <v>16</v>
      </c>
      <c r="AO43" s="178" t="s">
        <v>16</v>
      </c>
      <c r="AP43" s="178" t="s">
        <v>16</v>
      </c>
      <c r="AQ43" s="178" t="s">
        <v>16</v>
      </c>
      <c r="AR43" s="178" t="s">
        <v>16</v>
      </c>
    </row>
    <row r="44" spans="1:44">
      <c r="A44" s="8" t="s">
        <v>72</v>
      </c>
      <c r="B44" s="29">
        <f t="shared" ref="B44:L44" si="34">B40+10*LOG10(B42)</f>
        <v>-105.41637507904753</v>
      </c>
      <c r="C44" s="29">
        <f t="shared" si="34"/>
        <v>-105.41637507904753</v>
      </c>
      <c r="D44" s="29">
        <f t="shared" si="34"/>
        <v>-105.41637507904753</v>
      </c>
      <c r="E44" s="29">
        <f t="shared" si="34"/>
        <v>-106.66576244513053</v>
      </c>
      <c r="F44" s="29">
        <f t="shared" si="34"/>
        <v>-106.66576244513053</v>
      </c>
      <c r="G44" s="73">
        <f t="shared" si="34"/>
        <v>-106.66576244513053</v>
      </c>
      <c r="H44" s="73">
        <f t="shared" si="34"/>
        <v>-106.66576244513053</v>
      </c>
      <c r="I44" s="73">
        <f t="shared" si="34"/>
        <v>-106.66576244513053</v>
      </c>
      <c r="J44" s="13">
        <f t="shared" si="34"/>
        <v>-103.40556343835789</v>
      </c>
      <c r="K44" s="13">
        <f t="shared" si="34"/>
        <v>-103.40556343835789</v>
      </c>
      <c r="L44" s="13">
        <f t="shared" si="34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35">P40+10*LOG10(P42)</f>
        <v>-98.634350891161276</v>
      </c>
      <c r="Q44" s="164">
        <f t="shared" si="35"/>
        <v>-98.634350891161276</v>
      </c>
      <c r="R44" s="164">
        <f t="shared" si="35"/>
        <v>-98.634350891161276</v>
      </c>
      <c r="S44" s="166">
        <f t="shared" si="35"/>
        <v>-106.66576244513053</v>
      </c>
      <c r="T44" s="166">
        <f t="shared" si="35"/>
        <v>-106.66576244513053</v>
      </c>
      <c r="U44" s="166">
        <f t="shared" si="35"/>
        <v>-106.66576244513053</v>
      </c>
      <c r="V44" s="166">
        <f t="shared" ref="V44:AA44" si="36">V40+10*LOG10(V42)</f>
        <v>-96.873438300604462</v>
      </c>
      <c r="W44" s="166">
        <f t="shared" si="36"/>
        <v>-96.873438300604462</v>
      </c>
      <c r="X44" s="166">
        <f t="shared" si="36"/>
        <v>-96.873438300604462</v>
      </c>
      <c r="Y44" s="166">
        <f t="shared" si="36"/>
        <v>-106.66576244513053</v>
      </c>
      <c r="Z44" s="166">
        <f t="shared" si="36"/>
        <v>-106.66576244513053</v>
      </c>
      <c r="AA44" s="166">
        <f t="shared" si="36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  <c r="AE44" s="178">
        <f t="shared" ref="AE44:AR44" si="37">AE40+10*LOG10(AE42)</f>
        <v>-102.53520231859375</v>
      </c>
      <c r="AF44" s="178">
        <f t="shared" si="37"/>
        <v>-102.53520231859375</v>
      </c>
      <c r="AG44" s="178">
        <f t="shared" si="37"/>
        <v>-102.53520231859375</v>
      </c>
      <c r="AH44" s="164">
        <f t="shared" si="37"/>
        <v>-106.66576244513053</v>
      </c>
      <c r="AI44" s="164">
        <f t="shared" si="37"/>
        <v>-106.66576244513053</v>
      </c>
      <c r="AJ44" s="178">
        <f t="shared" si="37"/>
        <v>-103.65546248849071</v>
      </c>
      <c r="AK44" s="178">
        <f t="shared" si="37"/>
        <v>-103.65546248849071</v>
      </c>
      <c r="AL44" s="178">
        <f t="shared" si="37"/>
        <v>-103.65546248849071</v>
      </c>
      <c r="AM44" s="178">
        <f t="shared" si="37"/>
        <v>-100.64516253185091</v>
      </c>
      <c r="AN44" s="178">
        <f t="shared" si="37"/>
        <v>-100.64516253185091</v>
      </c>
      <c r="AO44" s="178">
        <f t="shared" si="37"/>
        <v>-100.64516253185091</v>
      </c>
      <c r="AP44" s="178">
        <f t="shared" si="37"/>
        <v>-106.66576244513053</v>
      </c>
      <c r="AQ44" s="178">
        <f t="shared" si="37"/>
        <v>-106.66576244513053</v>
      </c>
      <c r="AR44" s="178">
        <f t="shared" si="37"/>
        <v>-106.66576244513053</v>
      </c>
    </row>
    <row r="45" spans="1:44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  <c r="AJ45" s="178" t="s">
        <v>16</v>
      </c>
      <c r="AK45" s="178" t="s">
        <v>16</v>
      </c>
      <c r="AL45" s="178" t="s">
        <v>16</v>
      </c>
      <c r="AM45" s="178" t="s">
        <v>16</v>
      </c>
      <c r="AN45" s="178" t="s">
        <v>16</v>
      </c>
      <c r="AO45" s="178" t="s">
        <v>16</v>
      </c>
      <c r="AP45" s="178" t="s">
        <v>16</v>
      </c>
      <c r="AQ45" s="178" t="s">
        <v>16</v>
      </c>
      <c r="AR45" s="178" t="s">
        <v>16</v>
      </c>
    </row>
    <row r="46" spans="1:44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  <c r="AE46" s="182">
        <v>-6.5</v>
      </c>
      <c r="AF46" s="182">
        <v>-3.2</v>
      </c>
      <c r="AG46" s="182">
        <v>0.7</v>
      </c>
      <c r="AH46" s="169">
        <v>-11.9</v>
      </c>
      <c r="AI46" s="169">
        <v>-9.3000000000000007</v>
      </c>
      <c r="AJ46" s="182">
        <v>-6.5</v>
      </c>
      <c r="AK46" s="182">
        <v>-3.4</v>
      </c>
      <c r="AL46" s="182">
        <v>0.3</v>
      </c>
      <c r="AM46" s="182">
        <v>-9.6</v>
      </c>
      <c r="AN46" s="182">
        <v>-6.4</v>
      </c>
      <c r="AO46" s="182">
        <v>-3.3</v>
      </c>
      <c r="AP46" s="182">
        <v>-5.65</v>
      </c>
      <c r="AQ46" s="182">
        <v>-2.06</v>
      </c>
      <c r="AR46" s="182">
        <v>2.48</v>
      </c>
    </row>
    <row r="47" spans="1:44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  <c r="AJ47" s="178">
        <v>2</v>
      </c>
      <c r="AK47" s="178">
        <v>2</v>
      </c>
      <c r="AL47" s="178">
        <v>2</v>
      </c>
      <c r="AM47" s="178">
        <v>2</v>
      </c>
      <c r="AN47" s="178">
        <v>2</v>
      </c>
      <c r="AO47" s="178">
        <v>2</v>
      </c>
      <c r="AP47" s="178">
        <v>2</v>
      </c>
      <c r="AQ47" s="178">
        <v>2</v>
      </c>
      <c r="AR47" s="178">
        <v>2</v>
      </c>
    </row>
    <row r="48" spans="1:44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  <c r="AJ48" s="178" t="s">
        <v>16</v>
      </c>
      <c r="AK48" s="178" t="s">
        <v>16</v>
      </c>
      <c r="AL48" s="178" t="s">
        <v>16</v>
      </c>
      <c r="AM48" s="178" t="s">
        <v>16</v>
      </c>
      <c r="AN48" s="178" t="s">
        <v>16</v>
      </c>
      <c r="AO48" s="178" t="s">
        <v>16</v>
      </c>
      <c r="AP48" s="178" t="s">
        <v>16</v>
      </c>
      <c r="AQ48" s="178" t="s">
        <v>16</v>
      </c>
      <c r="AR48" s="178" t="s">
        <v>16</v>
      </c>
    </row>
    <row r="49" spans="1:44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  <c r="AJ49" s="178">
        <v>0</v>
      </c>
      <c r="AK49" s="178">
        <v>0</v>
      </c>
      <c r="AL49" s="178">
        <v>0</v>
      </c>
      <c r="AM49" s="178">
        <v>0</v>
      </c>
      <c r="AN49" s="178">
        <v>0</v>
      </c>
      <c r="AO49" s="178">
        <v>0</v>
      </c>
      <c r="AP49" s="178">
        <v>0</v>
      </c>
      <c r="AQ49" s="178">
        <v>0</v>
      </c>
      <c r="AR49" s="178">
        <v>0</v>
      </c>
    </row>
    <row r="50" spans="1:44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  <c r="AJ50" s="183" t="s">
        <v>16</v>
      </c>
      <c r="AK50" s="183" t="s">
        <v>16</v>
      </c>
      <c r="AL50" s="183" t="s">
        <v>16</v>
      </c>
      <c r="AM50" s="183" t="s">
        <v>16</v>
      </c>
      <c r="AN50" s="183" t="s">
        <v>16</v>
      </c>
      <c r="AO50" s="183" t="s">
        <v>16</v>
      </c>
      <c r="AP50" s="183" t="s">
        <v>16</v>
      </c>
      <c r="AQ50" s="183" t="s">
        <v>16</v>
      </c>
      <c r="AR50" s="183" t="s">
        <v>16</v>
      </c>
    </row>
    <row r="51" spans="1:44" ht="28">
      <c r="A51" s="8" t="s">
        <v>82</v>
      </c>
      <c r="B51" s="29">
        <f t="shared" ref="B51:L51" si="38">B44+B46+B47-B49</f>
        <v>-110.91637507904753</v>
      </c>
      <c r="C51" s="29">
        <f t="shared" si="38"/>
        <v>-107.41637507904753</v>
      </c>
      <c r="D51" s="29">
        <f t="shared" si="38"/>
        <v>-102.21637507904752</v>
      </c>
      <c r="E51" s="29">
        <f t="shared" si="38"/>
        <v>-116.53576244513053</v>
      </c>
      <c r="F51" s="29">
        <f t="shared" si="38"/>
        <v>-112.92576244513053</v>
      </c>
      <c r="G51" s="73">
        <f t="shared" si="38"/>
        <v>-112.28576244513053</v>
      </c>
      <c r="H51" s="73">
        <f t="shared" si="38"/>
        <v>-108.20576244513053</v>
      </c>
      <c r="I51" s="73">
        <f t="shared" si="38"/>
        <v>-102.68576244513052</v>
      </c>
      <c r="J51" s="13">
        <f t="shared" si="38"/>
        <v>-109.32556343835789</v>
      </c>
      <c r="K51" s="13">
        <f t="shared" si="38"/>
        <v>-104.83556343835789</v>
      </c>
      <c r="L51" s="13">
        <f t="shared" si="38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39">P44+P46+P47-P49</f>
        <v>-105.63435089116128</v>
      </c>
      <c r="Q51" s="164">
        <f t="shared" si="39"/>
        <v>-103.23435089116127</v>
      </c>
      <c r="R51" s="164">
        <f t="shared" si="39"/>
        <v>-99.434350891161273</v>
      </c>
      <c r="S51" s="166">
        <f t="shared" si="39"/>
        <v>-110.34576244513053</v>
      </c>
      <c r="T51" s="166">
        <f t="shared" si="39"/>
        <v>-105.83576244513053</v>
      </c>
      <c r="U51" s="166">
        <f t="shared" si="39"/>
        <v>-100.15576244513052</v>
      </c>
      <c r="V51" s="166">
        <f t="shared" ref="V51:AA51" si="40">V44+V46+V47-V49</f>
        <v>-103.23343830060446</v>
      </c>
      <c r="W51" s="166">
        <f t="shared" si="40"/>
        <v>-99.763438300604463</v>
      </c>
      <c r="X51" s="166">
        <f t="shared" si="40"/>
        <v>-95.463438300604466</v>
      </c>
      <c r="Y51" s="166">
        <f t="shared" si="40"/>
        <v>-113.66576244513053</v>
      </c>
      <c r="Z51" s="166">
        <f t="shared" si="40"/>
        <v>-110.66576244513053</v>
      </c>
      <c r="AA51" s="166">
        <f t="shared" si="40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  <c r="AE51" s="178">
        <f t="shared" ref="AE51:AR51" si="41">AE44+AE46+AE47-AE49</f>
        <v>-107.03520231859375</v>
      </c>
      <c r="AF51" s="178">
        <f t="shared" si="41"/>
        <v>-103.73520231859375</v>
      </c>
      <c r="AG51" s="178">
        <f t="shared" si="41"/>
        <v>-99.835202318593744</v>
      </c>
      <c r="AH51" s="164">
        <f t="shared" si="41"/>
        <v>-116.56576244513053</v>
      </c>
      <c r="AI51" s="164">
        <f t="shared" si="41"/>
        <v>-113.96576244513052</v>
      </c>
      <c r="AJ51" s="178">
        <f t="shared" si="41"/>
        <v>-108.15546248849071</v>
      </c>
      <c r="AK51" s="178">
        <f t="shared" si="41"/>
        <v>-105.05546248849072</v>
      </c>
      <c r="AL51" s="178">
        <f t="shared" si="41"/>
        <v>-101.35546248849072</v>
      </c>
      <c r="AM51" s="178">
        <f t="shared" si="41"/>
        <v>-108.24516253185091</v>
      </c>
      <c r="AN51" s="178">
        <f t="shared" si="41"/>
        <v>-105.04516253185092</v>
      </c>
      <c r="AO51" s="178">
        <f t="shared" si="41"/>
        <v>-101.94516253185091</v>
      </c>
      <c r="AP51" s="178">
        <f t="shared" si="41"/>
        <v>-110.31576244513053</v>
      </c>
      <c r="AQ51" s="178">
        <f t="shared" si="41"/>
        <v>-106.72576244513053</v>
      </c>
      <c r="AR51" s="178">
        <f t="shared" si="41"/>
        <v>-102.18576244513052</v>
      </c>
    </row>
    <row r="52" spans="1:44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  <c r="AJ52" s="195" t="s">
        <v>16</v>
      </c>
      <c r="AK52" s="195" t="s">
        <v>16</v>
      </c>
      <c r="AL52" s="195" t="s">
        <v>16</v>
      </c>
      <c r="AM52" s="195" t="s">
        <v>16</v>
      </c>
      <c r="AN52" s="195" t="s">
        <v>16</v>
      </c>
      <c r="AO52" s="195" t="s">
        <v>16</v>
      </c>
      <c r="AP52" s="195" t="s">
        <v>16</v>
      </c>
      <c r="AQ52" s="195" t="s">
        <v>16</v>
      </c>
      <c r="AR52" s="195" t="s">
        <v>16</v>
      </c>
    </row>
    <row r="53" spans="1:44" ht="28">
      <c r="A53" s="22" t="s">
        <v>85</v>
      </c>
      <c r="B53" s="37">
        <f t="shared" ref="B53:G53" si="42">B26+B30+B33-B34-B51</f>
        <v>162.27121254719665</v>
      </c>
      <c r="C53" s="37">
        <f t="shared" si="42"/>
        <v>155.77121254719665</v>
      </c>
      <c r="D53" s="37">
        <f t="shared" si="42"/>
        <v>150.57121254719664</v>
      </c>
      <c r="E53" s="37">
        <f t="shared" si="42"/>
        <v>148.30121254719666</v>
      </c>
      <c r="F53" s="37">
        <f t="shared" si="42"/>
        <v>141.69121254719664</v>
      </c>
      <c r="G53" s="78">
        <f t="shared" si="42"/>
        <v>153.39121254719666</v>
      </c>
      <c r="H53" s="78">
        <f t="shared" ref="H53:L53" si="43">H26+H30+H33-H34-H51</f>
        <v>146.31121254719665</v>
      </c>
      <c r="I53" s="78">
        <f t="shared" si="43"/>
        <v>140.79121254719664</v>
      </c>
      <c r="J53" s="23">
        <f t="shared" si="43"/>
        <v>157.08190068970606</v>
      </c>
      <c r="K53" s="23">
        <f t="shared" si="43"/>
        <v>149.59190068970608</v>
      </c>
      <c r="L53" s="23">
        <f t="shared" si="43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44">Q26+Q30+Q33-Q34-Q51</f>
        <v>163.41040090650702</v>
      </c>
      <c r="R53" s="171">
        <f t="shared" si="44"/>
        <v>159.61040090650704</v>
      </c>
      <c r="S53" s="171">
        <f>S26+S30+S33-S34-S51</f>
        <v>151.45121254719666</v>
      </c>
      <c r="T53" s="171">
        <f t="shared" ref="T53:U53" si="45">T26+T30+T33-T34-T51</f>
        <v>143.94121254719664</v>
      </c>
      <c r="U53" s="171">
        <f t="shared" si="45"/>
        <v>138.26121254719664</v>
      </c>
      <c r="V53" s="171">
        <f>V26+V30+V33-V34-V51</f>
        <v>161.12040090650703</v>
      </c>
      <c r="W53" s="171">
        <f t="shared" ref="W53:X53" si="46">W26+W30+W33-W34-W51</f>
        <v>154.65040090650703</v>
      </c>
      <c r="X53" s="171">
        <f t="shared" si="46"/>
        <v>150.35040090650702</v>
      </c>
      <c r="Y53" s="171">
        <f>Y26+Y30+Y33-Y34-Y51</f>
        <v>154.77121254719665</v>
      </c>
      <c r="Z53" s="171">
        <f t="shared" ref="Z53:AA53" si="47">Z26+Z30+Z33-Z34-Z51</f>
        <v>148.77121254719665</v>
      </c>
      <c r="AA53" s="171">
        <f t="shared" si="47"/>
        <v>145.77121254719665</v>
      </c>
      <c r="AB53" s="179">
        <f>AB26+AB30+AB33-AB34-AB51</f>
        <v>143.57121254719664</v>
      </c>
      <c r="AC53" s="179">
        <f t="shared" ref="AC53:AD53" si="48">AC26+AC30+AC33-AC34-AC51</f>
        <v>137.17121254719666</v>
      </c>
      <c r="AD53" s="179">
        <f t="shared" si="48"/>
        <v>132.37121254719665</v>
      </c>
      <c r="AE53" s="179">
        <f>AE26+AE30+AE33-AE34-AE51</f>
        <v>147.14065242065988</v>
      </c>
      <c r="AF53" s="179">
        <f t="shared" ref="AF53:AG53" si="49">AF26+AF30+AF33-AF34-AF51</f>
        <v>140.84065242065986</v>
      </c>
      <c r="AG53" s="179">
        <f t="shared" si="49"/>
        <v>136.94065242065986</v>
      </c>
      <c r="AH53" s="171">
        <f>AH26+AH30+AH33-AH34-AH51</f>
        <v>156.96121254719665</v>
      </c>
      <c r="AI53" s="171">
        <f t="shared" ref="AI53" si="50">AI26+AI30+AI33-AI34-AI51</f>
        <v>151.36121254719666</v>
      </c>
      <c r="AJ53" s="179">
        <f>AJ26+AJ30+AJ33-AJ34-AJ51</f>
        <v>146.27121254719665</v>
      </c>
      <c r="AK53" s="179">
        <f t="shared" ref="AK53:AL53" si="51">AK26+AK30+AK33-AK34-AK51</f>
        <v>140.17121254719666</v>
      </c>
      <c r="AL53" s="179">
        <f t="shared" si="51"/>
        <v>136.47121254719664</v>
      </c>
      <c r="AM53" s="179">
        <f>AM26+AM30+AM33-AM34-AM51</f>
        <v>149.37121254719665</v>
      </c>
      <c r="AN53" s="179">
        <f t="shared" ref="AN53:AO53" si="52">AN26+AN30+AN33-AN34-AN51</f>
        <v>143.17121254719666</v>
      </c>
      <c r="AO53" s="179">
        <f t="shared" si="52"/>
        <v>140.07121254719667</v>
      </c>
      <c r="AP53" s="179">
        <f>AP26+AP30+AP33-AP34-AP51</f>
        <v>160.42121254719666</v>
      </c>
      <c r="AQ53" s="179">
        <f t="shared" ref="AQ53:AR53" si="53">AQ26+AQ30+AQ33-AQ34-AQ51</f>
        <v>153.83121254719666</v>
      </c>
      <c r="AR53" s="179">
        <f t="shared" si="53"/>
        <v>149.29121254719664</v>
      </c>
    </row>
    <row r="54" spans="1:4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  <c r="AJ54" s="177"/>
      <c r="AK54" s="177"/>
      <c r="AL54" s="177"/>
      <c r="AM54" s="177"/>
      <c r="AN54" s="177"/>
      <c r="AO54" s="177"/>
      <c r="AP54" s="177"/>
      <c r="AQ54" s="177"/>
      <c r="AR54" s="177"/>
    </row>
    <row r="55" spans="1:4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  <c r="AJ55" s="186">
        <v>7</v>
      </c>
      <c r="AK55" s="186">
        <v>7</v>
      </c>
      <c r="AL55" s="186">
        <v>7</v>
      </c>
      <c r="AM55" s="186">
        <v>7</v>
      </c>
      <c r="AN55" s="186">
        <v>7</v>
      </c>
      <c r="AO55" s="186">
        <v>7</v>
      </c>
      <c r="AP55" s="186">
        <v>7</v>
      </c>
      <c r="AQ55" s="186">
        <v>7</v>
      </c>
      <c r="AR55" s="186">
        <v>7</v>
      </c>
    </row>
    <row r="56" spans="1:44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  <c r="AJ56" s="183" t="s">
        <v>16</v>
      </c>
      <c r="AK56" s="183" t="s">
        <v>16</v>
      </c>
      <c r="AL56" s="183" t="s">
        <v>16</v>
      </c>
      <c r="AM56" s="183" t="s">
        <v>16</v>
      </c>
      <c r="AN56" s="183" t="s">
        <v>16</v>
      </c>
      <c r="AO56" s="183" t="s">
        <v>16</v>
      </c>
      <c r="AP56" s="183" t="s">
        <v>16</v>
      </c>
      <c r="AQ56" s="183" t="s">
        <v>16</v>
      </c>
      <c r="AR56" s="183" t="s">
        <v>16</v>
      </c>
    </row>
    <row r="57" spans="1:44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  <c r="AJ57" s="186">
        <v>4.4800000000000004</v>
      </c>
      <c r="AK57" s="186">
        <v>4.4800000000000004</v>
      </c>
      <c r="AL57" s="186">
        <v>4.4800000000000004</v>
      </c>
      <c r="AM57" s="186">
        <v>4.4800000000000004</v>
      </c>
      <c r="AN57" s="186">
        <v>4.4800000000000004</v>
      </c>
      <c r="AO57" s="186">
        <v>4.4800000000000004</v>
      </c>
      <c r="AP57" s="186">
        <v>4.4800000000000004</v>
      </c>
      <c r="AQ57" s="186">
        <v>4.4800000000000004</v>
      </c>
      <c r="AR57" s="186">
        <v>4.4800000000000004</v>
      </c>
    </row>
    <row r="58" spans="1:44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  <c r="AJ58" s="186">
        <v>0</v>
      </c>
      <c r="AK58" s="186">
        <v>0</v>
      </c>
      <c r="AL58" s="186">
        <v>0</v>
      </c>
      <c r="AM58" s="186">
        <v>0</v>
      </c>
      <c r="AN58" s="186">
        <v>0</v>
      </c>
      <c r="AO58" s="186">
        <v>0</v>
      </c>
      <c r="AP58" s="186">
        <v>0</v>
      </c>
      <c r="AQ58" s="186">
        <v>0</v>
      </c>
      <c r="AR58" s="186">
        <v>0</v>
      </c>
    </row>
    <row r="59" spans="1:44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  <c r="AJ59" s="186">
        <v>26.25</v>
      </c>
      <c r="AK59" s="186">
        <v>26.25</v>
      </c>
      <c r="AL59" s="186">
        <v>26.25</v>
      </c>
      <c r="AM59" s="186">
        <v>26.25</v>
      </c>
      <c r="AN59" s="186">
        <v>26.25</v>
      </c>
      <c r="AO59" s="186">
        <v>26.25</v>
      </c>
      <c r="AP59" s="186">
        <v>26.25</v>
      </c>
      <c r="AQ59" s="186">
        <v>26.25</v>
      </c>
      <c r="AR59" s="186">
        <v>26.25</v>
      </c>
    </row>
    <row r="60" spans="1:44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  <c r="AJ60" s="186">
        <v>0</v>
      </c>
      <c r="AK60" s="186">
        <v>0</v>
      </c>
      <c r="AL60" s="186">
        <v>0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</row>
    <row r="61" spans="1:44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  <c r="AJ61" s="195" t="s">
        <v>16</v>
      </c>
      <c r="AK61" s="195" t="s">
        <v>16</v>
      </c>
      <c r="AL61" s="195" t="s">
        <v>16</v>
      </c>
      <c r="AM61" s="195" t="s">
        <v>16</v>
      </c>
      <c r="AN61" s="195" t="s">
        <v>16</v>
      </c>
      <c r="AO61" s="195" t="s">
        <v>16</v>
      </c>
      <c r="AP61" s="195" t="s">
        <v>16</v>
      </c>
      <c r="AQ61" s="195" t="s">
        <v>16</v>
      </c>
      <c r="AR61" s="195" t="s">
        <v>16</v>
      </c>
    </row>
    <row r="62" spans="1:44" ht="28">
      <c r="A62" s="22" t="s">
        <v>109</v>
      </c>
      <c r="B62" s="37">
        <f t="shared" ref="B62:G62" si="54">B53-B57+B58-B59+B60</f>
        <v>131.54121254719666</v>
      </c>
      <c r="C62" s="37">
        <f t="shared" si="54"/>
        <v>125.04121254719666</v>
      </c>
      <c r="D62" s="37">
        <f t="shared" si="54"/>
        <v>119.84121254719665</v>
      </c>
      <c r="E62" s="37">
        <f t="shared" si="54"/>
        <v>117.57121254719667</v>
      </c>
      <c r="F62" s="37">
        <f t="shared" si="54"/>
        <v>110.96121254719665</v>
      </c>
      <c r="G62" s="78">
        <f t="shared" si="54"/>
        <v>122.66121254719667</v>
      </c>
      <c r="H62" s="78">
        <f t="shared" ref="H62:L62" si="55">H53-H57+H58-H59+H60</f>
        <v>115.58121254719666</v>
      </c>
      <c r="I62" s="78">
        <f t="shared" si="55"/>
        <v>110.06121254719665</v>
      </c>
      <c r="J62" s="23">
        <f t="shared" si="55"/>
        <v>126.35190068970607</v>
      </c>
      <c r="K62" s="23">
        <f t="shared" si="55"/>
        <v>118.86190068970609</v>
      </c>
      <c r="L62" s="23">
        <f t="shared" si="55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56">Q53-Q57+Q58-Q59+Q60</f>
        <v>132.68040090650703</v>
      </c>
      <c r="R62" s="171">
        <f t="shared" si="56"/>
        <v>128.88040090650705</v>
      </c>
      <c r="S62" s="171">
        <f>S53-S57+S58-S59+S60</f>
        <v>120.72121254719667</v>
      </c>
      <c r="T62" s="171">
        <f t="shared" ref="T62:U62" si="57">T53-T57+T58-T59+T60</f>
        <v>113.21121254719665</v>
      </c>
      <c r="U62" s="171">
        <f t="shared" si="57"/>
        <v>107.53121254719665</v>
      </c>
      <c r="V62" s="171">
        <f>V53-V57+V58-V59+V60</f>
        <v>130.39040090650704</v>
      </c>
      <c r="W62" s="171">
        <f t="shared" ref="W62:X62" si="58">W53-W57+W58-W59+W60</f>
        <v>123.92040090650704</v>
      </c>
      <c r="X62" s="171">
        <f t="shared" si="58"/>
        <v>119.62040090650703</v>
      </c>
      <c r="Y62" s="171">
        <f>Y53-Y57+Y58-Y59+Y60</f>
        <v>124.04121254719666</v>
      </c>
      <c r="Z62" s="171">
        <f t="shared" ref="Z62:AA62" si="59">Z53-Z57+Z58-Z59+Z60</f>
        <v>118.04121254719666</v>
      </c>
      <c r="AA62" s="171">
        <f t="shared" si="59"/>
        <v>115.04121254719666</v>
      </c>
      <c r="AB62" s="179">
        <f>AB53-AB57+AB58-AB59+AB60</f>
        <v>112.84121254719665</v>
      </c>
      <c r="AC62" s="179">
        <f t="shared" ref="AC62:AD62" si="60">AC53-AC57+AC58-AC59+AC60</f>
        <v>106.44121254719667</v>
      </c>
      <c r="AD62" s="179">
        <f t="shared" si="60"/>
        <v>101.64121254719664</v>
      </c>
      <c r="AE62" s="179">
        <f>AE53-AE57+AE58-AE59+AE60</f>
        <v>116.41065242065989</v>
      </c>
      <c r="AF62" s="179">
        <f t="shared" ref="AF62:AG62" si="61">AF53-AF57+AF58-AF59+AF60</f>
        <v>110.11065242065987</v>
      </c>
      <c r="AG62" s="179">
        <f t="shared" si="61"/>
        <v>106.21065242065987</v>
      </c>
      <c r="AH62" s="171">
        <f>AH53-AH57+AH58-AH59+AH60</f>
        <v>126.23121254719666</v>
      </c>
      <c r="AI62" s="171">
        <f t="shared" ref="AI62" si="62">AI53-AI57+AI58-AI59+AI60</f>
        <v>120.63121254719667</v>
      </c>
      <c r="AJ62" s="179">
        <f>AJ53-AJ57+AJ58-AJ59+AJ60</f>
        <v>115.54121254719666</v>
      </c>
      <c r="AK62" s="179">
        <f t="shared" ref="AK62:AL62" si="63">AK53-AK57+AK58-AK59+AK60</f>
        <v>109.44121254719667</v>
      </c>
      <c r="AL62" s="179">
        <f t="shared" si="63"/>
        <v>105.74121254719665</v>
      </c>
      <c r="AM62" s="179">
        <f>AM53-AM57+AM58-AM59+AM60</f>
        <v>118.64121254719666</v>
      </c>
      <c r="AN62" s="179">
        <f t="shared" ref="AN62:AO62" si="64">AN53-AN57+AN58-AN59+AN60</f>
        <v>112.44121254719667</v>
      </c>
      <c r="AO62" s="179">
        <f t="shared" si="64"/>
        <v>109.34121254719668</v>
      </c>
      <c r="AP62" s="179">
        <f>AP53-AP57+AP58-AP59+AP60</f>
        <v>129.69121254719667</v>
      </c>
      <c r="AQ62" s="179">
        <f t="shared" ref="AQ62:AR62" si="65">AQ53-AQ57+AQ58-AQ59+AQ60</f>
        <v>123.10121254719667</v>
      </c>
      <c r="AR62" s="179">
        <f t="shared" si="65"/>
        <v>118.56121254719665</v>
      </c>
    </row>
    <row r="63" spans="1:4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  <c r="AK63" s="2"/>
      <c r="AL63" s="2"/>
      <c r="AN63" s="2"/>
      <c r="AO63" s="2"/>
      <c r="AP63" s="2"/>
      <c r="AQ63" s="2"/>
      <c r="AR63" s="2"/>
    </row>
    <row r="64" spans="1:44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  <c r="AJ64" s="195" t="s">
        <v>16</v>
      </c>
      <c r="AK64" s="195" t="s">
        <v>16</v>
      </c>
      <c r="AL64" s="195" t="s">
        <v>16</v>
      </c>
      <c r="AM64" s="195" t="s">
        <v>16</v>
      </c>
      <c r="AN64" s="195" t="s">
        <v>16</v>
      </c>
      <c r="AO64" s="195" t="s">
        <v>16</v>
      </c>
      <c r="AP64" s="195" t="s">
        <v>16</v>
      </c>
      <c r="AQ64" s="195" t="s">
        <v>16</v>
      </c>
      <c r="AR64" s="195" t="s">
        <v>16</v>
      </c>
    </row>
    <row r="65" spans="1:44">
      <c r="A65" s="22" t="s">
        <v>98</v>
      </c>
      <c r="B65" s="37">
        <f t="shared" ref="B65:L65" si="66">B17-B23-B51+B21+B33</f>
        <v>153.50000000000003</v>
      </c>
      <c r="C65" s="37">
        <f t="shared" si="66"/>
        <v>150.00000000000003</v>
      </c>
      <c r="D65" s="37">
        <f t="shared" si="66"/>
        <v>144.80000000000001</v>
      </c>
      <c r="E65" s="37">
        <f t="shared" si="66"/>
        <v>142.48000000000005</v>
      </c>
      <c r="F65" s="37">
        <f t="shared" si="66"/>
        <v>138.87000000000003</v>
      </c>
      <c r="G65" s="78">
        <f t="shared" si="66"/>
        <v>144.62000000000003</v>
      </c>
      <c r="H65" s="78">
        <f t="shared" si="66"/>
        <v>140.54000000000002</v>
      </c>
      <c r="I65" s="78">
        <f t="shared" si="66"/>
        <v>135.02000000000001</v>
      </c>
      <c r="J65" s="23">
        <f t="shared" si="66"/>
        <v>150.96068814250944</v>
      </c>
      <c r="K65" s="23">
        <f t="shared" si="66"/>
        <v>146.47068814250946</v>
      </c>
      <c r="L65" s="23">
        <f t="shared" si="66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67">P17-P23-P51+P21+P33</f>
        <v>160.0391883593104</v>
      </c>
      <c r="Q65" s="171">
        <f t="shared" si="67"/>
        <v>157.6391883593104</v>
      </c>
      <c r="R65" s="171">
        <f t="shared" si="67"/>
        <v>153.83918835931041</v>
      </c>
      <c r="S65" s="171">
        <f t="shared" si="67"/>
        <v>142.68000000000004</v>
      </c>
      <c r="T65" s="171">
        <f t="shared" si="67"/>
        <v>138.17000000000002</v>
      </c>
      <c r="U65" s="171">
        <f t="shared" si="67"/>
        <v>132.49</v>
      </c>
      <c r="V65" s="171">
        <f t="shared" ref="V65:AA65" si="68">V17-V23-V51+V21+V33</f>
        <v>152.3491883593104</v>
      </c>
      <c r="W65" s="171">
        <f t="shared" si="68"/>
        <v>148.8791883593104</v>
      </c>
      <c r="X65" s="171">
        <f t="shared" si="68"/>
        <v>144.57918835931039</v>
      </c>
      <c r="Y65" s="171">
        <f t="shared" si="68"/>
        <v>146.00000000000003</v>
      </c>
      <c r="Z65" s="171">
        <f t="shared" si="68"/>
        <v>143.00000000000003</v>
      </c>
      <c r="AA65" s="171">
        <f t="shared" si="68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  <c r="AE65" s="179">
        <f t="shared" ref="AE65:AR65" si="69">AE17-AE23-AE51+AE21+AE33</f>
        <v>138.36943987346325</v>
      </c>
      <c r="AF65" s="179">
        <f t="shared" si="69"/>
        <v>135.06943987346324</v>
      </c>
      <c r="AG65" s="179">
        <f t="shared" si="69"/>
        <v>131.16943987346323</v>
      </c>
      <c r="AH65" s="171">
        <f t="shared" si="69"/>
        <v>152.90000000000003</v>
      </c>
      <c r="AI65" s="171">
        <f t="shared" si="69"/>
        <v>150.30000000000001</v>
      </c>
      <c r="AJ65" s="179">
        <f t="shared" si="69"/>
        <v>141.50000000000003</v>
      </c>
      <c r="AK65" s="179">
        <f t="shared" si="69"/>
        <v>138.40000000000003</v>
      </c>
      <c r="AL65" s="179">
        <f t="shared" si="69"/>
        <v>134.70000000000002</v>
      </c>
      <c r="AM65" s="179">
        <f t="shared" si="69"/>
        <v>144.60000000000002</v>
      </c>
      <c r="AN65" s="179">
        <f t="shared" si="69"/>
        <v>141.40000000000003</v>
      </c>
      <c r="AO65" s="179">
        <f t="shared" si="69"/>
        <v>138.30000000000004</v>
      </c>
      <c r="AP65" s="179">
        <f t="shared" si="69"/>
        <v>151.65000000000003</v>
      </c>
      <c r="AQ65" s="179">
        <f t="shared" si="69"/>
        <v>148.06000000000003</v>
      </c>
      <c r="AR65" s="179">
        <f t="shared" si="69"/>
        <v>143.52000000000001</v>
      </c>
    </row>
  </sheetData>
  <mergeCells count="15">
    <mergeCell ref="AP1:AR1"/>
    <mergeCell ref="AJ1:AL1"/>
    <mergeCell ref="AM1:AO1"/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65"/>
  <sheetViews>
    <sheetView workbookViewId="0">
      <pane xSplit="1" ySplit="1" topLeftCell="AG2" activePane="bottomRight" state="frozen"/>
      <selection pane="topRight"/>
      <selection pane="bottomLeft"/>
      <selection pane="bottomRight" activeCell="AJ1" sqref="AJ1:AL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5" width="15.6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6640625" style="2" customWidth="1"/>
    <col min="29" max="30" width="15.6640625" style="3" customWidth="1"/>
    <col min="31" max="31" width="15.6640625" style="2" customWidth="1"/>
    <col min="32" max="33" width="15.6640625" style="3" customWidth="1"/>
    <col min="34" max="34" width="15.6640625" style="194" customWidth="1"/>
    <col min="35" max="35" width="15.6640625" style="3" customWidth="1"/>
    <col min="36" max="36" width="15.83203125" style="3" customWidth="1"/>
    <col min="37" max="37" width="15.9140625" style="3" customWidth="1"/>
    <col min="38" max="38" width="15.6640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118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131</v>
      </c>
      <c r="AF1" s="205"/>
      <c r="AG1" s="205"/>
      <c r="AH1" s="205" t="s">
        <v>132</v>
      </c>
      <c r="AI1" s="205"/>
      <c r="AJ1" s="205" t="s">
        <v>130</v>
      </c>
      <c r="AK1" s="205"/>
      <c r="AL1" s="205"/>
    </row>
    <row r="2" spans="1:3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  <c r="AJ2" s="184" t="s">
        <v>102</v>
      </c>
      <c r="AK2" s="185" t="s">
        <v>103</v>
      </c>
      <c r="AL2" s="185" t="s">
        <v>104</v>
      </c>
    </row>
    <row r="3" spans="1:38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  <c r="AH4" s="164">
        <v>100</v>
      </c>
      <c r="AI4" s="164">
        <v>100</v>
      </c>
      <c r="AJ4" s="178">
        <v>100</v>
      </c>
      <c r="AK4" s="178">
        <v>100</v>
      </c>
      <c r="AL4" s="178">
        <v>100</v>
      </c>
    </row>
    <row r="5" spans="1:38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  <c r="AH5" s="191" t="s">
        <v>16</v>
      </c>
      <c r="AI5" s="191" t="s">
        <v>16</v>
      </c>
      <c r="AJ5" s="183" t="s">
        <v>16</v>
      </c>
      <c r="AK5" s="183" t="s">
        <v>16</v>
      </c>
      <c r="AL5" s="183" t="s">
        <v>16</v>
      </c>
    </row>
    <row r="6" spans="1:38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  <c r="AH6" s="164" t="s">
        <v>16</v>
      </c>
      <c r="AI6" s="164" t="s">
        <v>16</v>
      </c>
      <c r="AJ6" s="178" t="s">
        <v>16</v>
      </c>
      <c r="AK6" s="178" t="s">
        <v>16</v>
      </c>
      <c r="AL6" s="178" t="s">
        <v>16</v>
      </c>
    </row>
    <row r="7" spans="1:38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  <c r="AH7" s="191" t="s">
        <v>16</v>
      </c>
      <c r="AI7" s="191" t="s">
        <v>16</v>
      </c>
      <c r="AJ7" s="183" t="s">
        <v>16</v>
      </c>
      <c r="AK7" s="183" t="s">
        <v>16</v>
      </c>
      <c r="AL7" s="183" t="s">
        <v>16</v>
      </c>
    </row>
    <row r="8" spans="1:38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  <c r="AH8" s="192">
        <v>0.1</v>
      </c>
      <c r="AI8" s="192">
        <v>0.1</v>
      </c>
      <c r="AJ8" s="181">
        <v>0.1</v>
      </c>
      <c r="AK8" s="181">
        <v>0.1</v>
      </c>
      <c r="AL8" s="181">
        <v>0.1</v>
      </c>
    </row>
    <row r="9" spans="1:38" ht="2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  <c r="AH9" s="164" t="s">
        <v>22</v>
      </c>
      <c r="AI9" s="164" t="s">
        <v>22</v>
      </c>
      <c r="AJ9" s="178" t="s">
        <v>22</v>
      </c>
      <c r="AK9" s="178" t="s">
        <v>22</v>
      </c>
      <c r="AL9" s="178" t="s">
        <v>22</v>
      </c>
    </row>
    <row r="10" spans="1:38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  <c r="AH10" s="164">
        <v>3</v>
      </c>
      <c r="AI10" s="164">
        <v>3</v>
      </c>
      <c r="AJ10" s="178">
        <v>3</v>
      </c>
      <c r="AK10" s="178">
        <v>3</v>
      </c>
      <c r="AL10" s="178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  <c r="AH11" s="168"/>
      <c r="AI11" s="168"/>
      <c r="AJ11" s="177"/>
      <c r="AK11" s="177"/>
      <c r="AL11" s="177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78">
        <v>192</v>
      </c>
      <c r="AF12" s="178">
        <v>192</v>
      </c>
      <c r="AG12" s="178">
        <v>192</v>
      </c>
      <c r="AH12" s="164">
        <v>192</v>
      </c>
      <c r="AI12" s="164">
        <v>192</v>
      </c>
      <c r="AJ12" s="178">
        <v>192</v>
      </c>
      <c r="AK12" s="178">
        <v>192</v>
      </c>
      <c r="AL12" s="178">
        <v>192</v>
      </c>
    </row>
    <row r="13" spans="1:38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78">
        <v>64</v>
      </c>
      <c r="AF13" s="178">
        <v>64</v>
      </c>
      <c r="AG13" s="178">
        <v>64</v>
      </c>
      <c r="AH13" s="164">
        <v>64</v>
      </c>
      <c r="AI13" s="164">
        <v>64</v>
      </c>
      <c r="AJ13" s="178">
        <v>64</v>
      </c>
      <c r="AK13" s="178">
        <v>64</v>
      </c>
      <c r="AL13" s="178">
        <v>64</v>
      </c>
    </row>
    <row r="14" spans="1:38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  <c r="AH14" s="163">
        <v>4</v>
      </c>
      <c r="AI14" s="163">
        <v>4</v>
      </c>
      <c r="AJ14" s="163">
        <v>4</v>
      </c>
      <c r="AK14" s="163">
        <v>4</v>
      </c>
      <c r="AL14" s="163">
        <v>4</v>
      </c>
    </row>
    <row r="15" spans="1:38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99">
        <v>24</v>
      </c>
      <c r="AF15" s="199">
        <v>24</v>
      </c>
      <c r="AG15" s="199">
        <v>24</v>
      </c>
      <c r="AH15" s="163">
        <v>24</v>
      </c>
      <c r="AI15" s="163">
        <v>24</v>
      </c>
      <c r="AJ15" s="163">
        <v>33</v>
      </c>
      <c r="AK15" s="163">
        <v>33</v>
      </c>
      <c r="AL15" s="163">
        <v>33</v>
      </c>
    </row>
    <row r="16" spans="1:38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78">
        <f t="shared" ref="AE16:AL16" si="3">AE15+10*LOG10(AE4)</f>
        <v>44</v>
      </c>
      <c r="AF16" s="178">
        <f t="shared" si="3"/>
        <v>44</v>
      </c>
      <c r="AG16" s="178">
        <f t="shared" si="3"/>
        <v>44</v>
      </c>
      <c r="AH16" s="164">
        <f t="shared" si="3"/>
        <v>44</v>
      </c>
      <c r="AI16" s="164">
        <f t="shared" si="3"/>
        <v>44</v>
      </c>
      <c r="AJ16" s="164">
        <f t="shared" si="3"/>
        <v>53</v>
      </c>
      <c r="AK16" s="164">
        <f t="shared" si="3"/>
        <v>53</v>
      </c>
      <c r="AL16" s="164">
        <f t="shared" si="3"/>
        <v>53</v>
      </c>
    </row>
    <row r="17" spans="1:38" ht="28">
      <c r="A17" s="8" t="s">
        <v>35</v>
      </c>
      <c r="B17" s="29">
        <f t="shared" ref="B17:L17" si="4">B15+10*LOG10(B42/1000000)</f>
        <v>44.126050015345747</v>
      </c>
      <c r="C17" s="29">
        <f t="shared" si="4"/>
        <v>44.126050015345747</v>
      </c>
      <c r="D17" s="29">
        <f t="shared" si="4"/>
        <v>44.126050015345747</v>
      </c>
      <c r="E17" s="29">
        <f t="shared" si="4"/>
        <v>35.245042248342827</v>
      </c>
      <c r="F17" s="29">
        <f t="shared" si="4"/>
        <v>35.245042248342827</v>
      </c>
      <c r="G17" s="73">
        <f t="shared" si="4"/>
        <v>35.126050015345747</v>
      </c>
      <c r="H17" s="73">
        <f t="shared" si="4"/>
        <v>35.126050015345747</v>
      </c>
      <c r="I17" s="73">
        <f t="shared" si="4"/>
        <v>35.126050015345747</v>
      </c>
      <c r="J17" s="13">
        <f t="shared" si="4"/>
        <v>45.09515014542631</v>
      </c>
      <c r="K17" s="13">
        <f t="shared" si="4"/>
        <v>45.09515014542631</v>
      </c>
      <c r="L17" s="13">
        <f t="shared" si="4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5">P15+10*LOG10(P42/1000000)</f>
        <v>44.245042248342827</v>
      </c>
      <c r="Q17" s="164">
        <f t="shared" si="5"/>
        <v>44.245042248342827</v>
      </c>
      <c r="R17" s="164">
        <f t="shared" si="5"/>
        <v>44.245042248342827</v>
      </c>
      <c r="S17" s="166">
        <f t="shared" si="5"/>
        <v>35.126050015345747</v>
      </c>
      <c r="T17" s="166">
        <f t="shared" si="5"/>
        <v>35.126050015345747</v>
      </c>
      <c r="U17" s="166">
        <f t="shared" si="5"/>
        <v>35.126050015345747</v>
      </c>
      <c r="V17" s="166">
        <f t="shared" ref="V17:AA17" si="6">V15+10*LOG10(V42/1000000)</f>
        <v>44.360860973840971</v>
      </c>
      <c r="W17" s="166">
        <f t="shared" si="6"/>
        <v>44.360860973840971</v>
      </c>
      <c r="X17" s="166">
        <f t="shared" si="6"/>
        <v>44.360860973840971</v>
      </c>
      <c r="Y17" s="166">
        <f t="shared" si="6"/>
        <v>35.126050015345747</v>
      </c>
      <c r="Z17" s="166">
        <f t="shared" si="6"/>
        <v>35.126050015345747</v>
      </c>
      <c r="AA17" s="166">
        <f t="shared" si="6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  <c r="AE17" s="178">
        <f t="shared" ref="AE17:AL17" si="7">AE15+10*LOG10(AE42/1000000)</f>
        <v>35.583624920952502</v>
      </c>
      <c r="AF17" s="178">
        <f t="shared" si="7"/>
        <v>35.583624920952502</v>
      </c>
      <c r="AG17" s="178">
        <f t="shared" si="7"/>
        <v>35.583624920952502</v>
      </c>
      <c r="AH17" s="164">
        <f t="shared" si="7"/>
        <v>35.126050015345747</v>
      </c>
      <c r="AI17" s="164">
        <f t="shared" si="7"/>
        <v>35.126050015345747</v>
      </c>
      <c r="AJ17" s="178">
        <f t="shared" si="7"/>
        <v>44.126050015345747</v>
      </c>
      <c r="AK17" s="178">
        <f t="shared" si="7"/>
        <v>44.126050015345747</v>
      </c>
      <c r="AL17" s="178">
        <f t="shared" si="7"/>
        <v>44.126050015345747</v>
      </c>
    </row>
    <row r="18" spans="1:38" ht="42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L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  <c r="AH18" s="164">
        <f t="shared" si="11"/>
        <v>8.0612125471966252</v>
      </c>
      <c r="AI18" s="164">
        <f t="shared" si="11"/>
        <v>8.0612125471966252</v>
      </c>
      <c r="AJ18" s="178">
        <f t="shared" si="11"/>
        <v>12.771212547196624</v>
      </c>
      <c r="AK18" s="178">
        <f t="shared" si="11"/>
        <v>12.771212547196624</v>
      </c>
      <c r="AL18" s="178">
        <f t="shared" si="11"/>
        <v>12.771212547196624</v>
      </c>
    </row>
    <row r="19" spans="1:38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  <c r="AH19" s="164">
        <v>8</v>
      </c>
      <c r="AI19" s="164">
        <v>8</v>
      </c>
      <c r="AJ19" s="178">
        <v>8</v>
      </c>
      <c r="AK19" s="178">
        <v>8</v>
      </c>
      <c r="AL19" s="178">
        <v>8</v>
      </c>
    </row>
    <row r="20" spans="1:38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  <c r="AH20" s="163">
        <v>4.71</v>
      </c>
      <c r="AI20" s="163">
        <v>4.71</v>
      </c>
      <c r="AJ20" s="186">
        <v>0</v>
      </c>
      <c r="AK20" s="186">
        <v>0</v>
      </c>
      <c r="AL20" s="186">
        <v>0</v>
      </c>
    </row>
    <row r="21" spans="1:3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  <c r="AH21" s="169">
        <v>12</v>
      </c>
      <c r="AI21" s="169">
        <v>12</v>
      </c>
      <c r="AJ21" s="182">
        <v>8</v>
      </c>
      <c r="AK21" s="182">
        <v>8</v>
      </c>
      <c r="AL21" s="182">
        <v>8</v>
      </c>
    </row>
    <row r="22" spans="1:38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64">
        <v>0</v>
      </c>
      <c r="AI22" s="164">
        <v>0</v>
      </c>
      <c r="AJ22" s="178">
        <v>0</v>
      </c>
      <c r="AK22" s="178">
        <v>0</v>
      </c>
      <c r="AL22" s="178">
        <v>0</v>
      </c>
    </row>
    <row r="23" spans="1:38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64">
        <v>0</v>
      </c>
      <c r="AI23" s="164">
        <v>0</v>
      </c>
      <c r="AJ23" s="178">
        <v>0</v>
      </c>
      <c r="AK23" s="178">
        <v>0</v>
      </c>
      <c r="AL23" s="178">
        <v>0</v>
      </c>
    </row>
    <row r="24" spans="1:38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  <c r="AH24" s="164">
        <v>3</v>
      </c>
      <c r="AI24" s="164">
        <v>3</v>
      </c>
      <c r="AJ24" s="178">
        <v>3</v>
      </c>
      <c r="AK24" s="178">
        <v>3</v>
      </c>
      <c r="AL24" s="178">
        <v>3</v>
      </c>
    </row>
    <row r="25" spans="1:38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  <c r="AH25" s="191" t="s">
        <v>16</v>
      </c>
      <c r="AI25" s="191" t="s">
        <v>16</v>
      </c>
      <c r="AJ25" s="183" t="s">
        <v>16</v>
      </c>
      <c r="AK25" s="183" t="s">
        <v>16</v>
      </c>
      <c r="AL25" s="183" t="s">
        <v>16</v>
      </c>
    </row>
    <row r="26" spans="1:38">
      <c r="A26" s="8" t="s">
        <v>51</v>
      </c>
      <c r="B26" s="29">
        <f t="shared" ref="B26:L26" si="13">B17+B18+B21-B23-B24</f>
        <v>61.89726256254238</v>
      </c>
      <c r="C26" s="29">
        <f t="shared" si="13"/>
        <v>61.89726256254238</v>
      </c>
      <c r="D26" s="29">
        <f t="shared" si="13"/>
        <v>61.89726256254238</v>
      </c>
      <c r="E26" s="29">
        <f t="shared" si="13"/>
        <v>43.67625479553945</v>
      </c>
      <c r="F26" s="29">
        <f t="shared" si="13"/>
        <v>43.67625479553945</v>
      </c>
      <c r="G26" s="73">
        <f t="shared" si="13"/>
        <v>52.897262562542373</v>
      </c>
      <c r="H26" s="73">
        <f t="shared" si="13"/>
        <v>52.897262562542373</v>
      </c>
      <c r="I26" s="73">
        <f t="shared" si="13"/>
        <v>52.897262562542373</v>
      </c>
      <c r="J26" s="13">
        <f t="shared" si="13"/>
        <v>59.267862475822</v>
      </c>
      <c r="K26" s="13">
        <f t="shared" si="13"/>
        <v>59.267862475822</v>
      </c>
      <c r="L26" s="13">
        <f t="shared" si="13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4">P17+P18+P21-P23-P24</f>
        <v>69.06625479553945</v>
      </c>
      <c r="Q26" s="164">
        <f t="shared" si="14"/>
        <v>69.06625479553945</v>
      </c>
      <c r="R26" s="164">
        <f t="shared" si="14"/>
        <v>69.06625479553945</v>
      </c>
      <c r="S26" s="166">
        <f t="shared" si="14"/>
        <v>52.897262562542373</v>
      </c>
      <c r="T26" s="166">
        <f t="shared" si="14"/>
        <v>52.897262562542373</v>
      </c>
      <c r="U26" s="166">
        <f t="shared" si="14"/>
        <v>52.897262562542373</v>
      </c>
      <c r="V26" s="166">
        <f t="shared" ref="V26:AA26" si="15">V17+V18+V21-V23-V24</f>
        <v>62.132073521037597</v>
      </c>
      <c r="W26" s="166">
        <f t="shared" si="15"/>
        <v>62.132073521037597</v>
      </c>
      <c r="X26" s="166">
        <f t="shared" si="15"/>
        <v>62.132073521037597</v>
      </c>
      <c r="Y26" s="166">
        <f t="shared" si="15"/>
        <v>52.897262562542373</v>
      </c>
      <c r="Z26" s="166">
        <f t="shared" si="15"/>
        <v>52.897262562542373</v>
      </c>
      <c r="AA26" s="166">
        <f t="shared" si="15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  <c r="AE26" s="178">
        <f t="shared" ref="AE26:AL26" si="16">AE17+AE18+AE21-AE23-AE24</f>
        <v>52.354837468149128</v>
      </c>
      <c r="AF26" s="178">
        <f t="shared" si="16"/>
        <v>52.354837468149128</v>
      </c>
      <c r="AG26" s="178">
        <f t="shared" si="16"/>
        <v>52.354837468149128</v>
      </c>
      <c r="AH26" s="164">
        <f t="shared" si="16"/>
        <v>52.187262562542372</v>
      </c>
      <c r="AI26" s="164">
        <f t="shared" si="16"/>
        <v>52.187262562542372</v>
      </c>
      <c r="AJ26" s="178">
        <f t="shared" si="16"/>
        <v>61.89726256254238</v>
      </c>
      <c r="AK26" s="178">
        <f t="shared" si="16"/>
        <v>61.89726256254238</v>
      </c>
      <c r="AL26" s="178">
        <f t="shared" si="16"/>
        <v>61.89726256254238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  <c r="AH27" s="168"/>
      <c r="AI27" s="168"/>
      <c r="AJ27" s="177"/>
      <c r="AK27" s="177"/>
      <c r="AL27" s="177"/>
    </row>
    <row r="28" spans="1:38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  <c r="AH28" s="164">
        <v>4</v>
      </c>
      <c r="AI28" s="164">
        <v>2</v>
      </c>
      <c r="AJ28" s="178">
        <v>4</v>
      </c>
      <c r="AK28" s="178">
        <v>2</v>
      </c>
      <c r="AL28" s="178">
        <v>1</v>
      </c>
    </row>
    <row r="29" spans="1:38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  <c r="AH29" s="164">
        <v>4</v>
      </c>
      <c r="AI29" s="164">
        <v>2</v>
      </c>
      <c r="AJ29" s="178">
        <v>4</v>
      </c>
      <c r="AK29" s="178">
        <v>2</v>
      </c>
      <c r="AL29" s="178">
        <v>1</v>
      </c>
    </row>
    <row r="30" spans="1:38" ht="42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66">
        <v>0</v>
      </c>
      <c r="N30" s="166">
        <v>-3</v>
      </c>
      <c r="O30" s="16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L30" si="20">AE31+10*LOG10(AE28/AE29)-AE32</f>
        <v>0</v>
      </c>
      <c r="AF30" s="178">
        <f t="shared" si="20"/>
        <v>-3</v>
      </c>
      <c r="AG30" s="178">
        <f t="shared" si="20"/>
        <v>-3</v>
      </c>
      <c r="AH30" s="164">
        <f t="shared" si="20"/>
        <v>0</v>
      </c>
      <c r="AI30" s="164">
        <f t="shared" si="20"/>
        <v>-3</v>
      </c>
      <c r="AJ30" s="178">
        <f t="shared" si="20"/>
        <v>0</v>
      </c>
      <c r="AK30" s="178">
        <f t="shared" si="20"/>
        <v>-3</v>
      </c>
      <c r="AL30" s="178">
        <f t="shared" si="20"/>
        <v>-3</v>
      </c>
    </row>
    <row r="31" spans="1:38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  <c r="AH31" s="164">
        <v>0</v>
      </c>
      <c r="AI31" s="164">
        <v>-3</v>
      </c>
      <c r="AJ31" s="178">
        <v>0</v>
      </c>
      <c r="AK31" s="178">
        <v>-3</v>
      </c>
      <c r="AL31" s="178">
        <v>-3</v>
      </c>
    </row>
    <row r="32" spans="1:38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  <c r="AH32" s="164">
        <v>0</v>
      </c>
      <c r="AI32" s="164">
        <v>0</v>
      </c>
      <c r="AJ32" s="178">
        <v>0</v>
      </c>
      <c r="AK32" s="178">
        <v>0</v>
      </c>
      <c r="AL32" s="178">
        <v>0</v>
      </c>
    </row>
    <row r="33" spans="1:38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  <c r="AH33" s="164">
        <v>0</v>
      </c>
      <c r="AI33" s="164">
        <v>0</v>
      </c>
      <c r="AJ33" s="178">
        <v>0</v>
      </c>
      <c r="AK33" s="178">
        <v>0</v>
      </c>
      <c r="AL33" s="178">
        <v>0</v>
      </c>
    </row>
    <row r="34" spans="1:38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  <c r="AH34" s="164">
        <v>1</v>
      </c>
      <c r="AI34" s="164">
        <v>1</v>
      </c>
      <c r="AJ34" s="178">
        <v>1</v>
      </c>
      <c r="AK34" s="178">
        <v>1</v>
      </c>
      <c r="AL34" s="178">
        <v>1</v>
      </c>
    </row>
    <row r="35" spans="1:38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  <c r="AH35" s="164">
        <v>7</v>
      </c>
      <c r="AI35" s="164">
        <v>7</v>
      </c>
      <c r="AJ35" s="178">
        <v>7</v>
      </c>
      <c r="AK35" s="178">
        <v>7</v>
      </c>
      <c r="AL35" s="178">
        <v>7</v>
      </c>
    </row>
    <row r="36" spans="1:38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  <c r="AH36" s="164">
        <v>-174</v>
      </c>
      <c r="AI36" s="164">
        <v>-174</v>
      </c>
      <c r="AJ36" s="178">
        <v>-174</v>
      </c>
      <c r="AK36" s="178">
        <v>-174</v>
      </c>
      <c r="AL36" s="178">
        <v>-174</v>
      </c>
    </row>
    <row r="37" spans="1:38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  <c r="AH37" s="164" t="s">
        <v>16</v>
      </c>
      <c r="AI37" s="164" t="s">
        <v>16</v>
      </c>
      <c r="AJ37" s="178" t="s">
        <v>16</v>
      </c>
      <c r="AK37" s="178" t="s">
        <v>16</v>
      </c>
      <c r="AL37" s="178" t="s">
        <v>16</v>
      </c>
    </row>
    <row r="38" spans="1:38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  <c r="AH38" s="163">
        <v>-999</v>
      </c>
      <c r="AI38" s="163">
        <v>-999</v>
      </c>
      <c r="AJ38" s="186">
        <v>-999</v>
      </c>
      <c r="AK38" s="186">
        <v>-999</v>
      </c>
      <c r="AL38" s="186">
        <v>-999</v>
      </c>
    </row>
    <row r="39" spans="1:38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  <c r="AH39" s="191" t="s">
        <v>16</v>
      </c>
      <c r="AI39" s="191" t="s">
        <v>16</v>
      </c>
      <c r="AJ39" s="183" t="s">
        <v>16</v>
      </c>
      <c r="AK39" s="183" t="s">
        <v>16</v>
      </c>
      <c r="AL39" s="183" t="s">
        <v>16</v>
      </c>
    </row>
    <row r="40" spans="1:38" ht="28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L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  <c r="AH40" s="164">
        <f t="shared" si="24"/>
        <v>-167.00000000000003</v>
      </c>
      <c r="AI40" s="164">
        <f t="shared" si="24"/>
        <v>-167.00000000000003</v>
      </c>
      <c r="AJ40" s="178">
        <f t="shared" si="24"/>
        <v>-167.00000000000003</v>
      </c>
      <c r="AK40" s="178">
        <f t="shared" si="24"/>
        <v>-167.00000000000003</v>
      </c>
      <c r="AL40" s="178">
        <f t="shared" si="24"/>
        <v>-167.00000000000003</v>
      </c>
    </row>
    <row r="41" spans="1:38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  <c r="AH41" s="164" t="s">
        <v>16</v>
      </c>
      <c r="AI41" s="164" t="s">
        <v>16</v>
      </c>
      <c r="AJ41" s="178" t="s">
        <v>16</v>
      </c>
      <c r="AK41" s="178" t="s">
        <v>16</v>
      </c>
      <c r="AL41" s="178" t="s">
        <v>16</v>
      </c>
    </row>
    <row r="42" spans="1:38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25">36*360*1000</f>
        <v>12960000</v>
      </c>
      <c r="I42" s="76">
        <f t="shared" si="25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6">37*360*1000</f>
        <v>13320000</v>
      </c>
      <c r="R42" s="182">
        <f t="shared" si="26"/>
        <v>13320000</v>
      </c>
      <c r="S42" s="169">
        <f>36*360*1000</f>
        <v>12960000</v>
      </c>
      <c r="T42" s="169">
        <f t="shared" ref="T42:U42" si="27">36*360*1000</f>
        <v>12960000</v>
      </c>
      <c r="U42" s="169">
        <f t="shared" si="27"/>
        <v>12960000</v>
      </c>
      <c r="V42" s="169">
        <f>38*360*1000</f>
        <v>13680000</v>
      </c>
      <c r="W42" s="169">
        <f t="shared" ref="W42:X42" si="28">38*360*1000</f>
        <v>13680000</v>
      </c>
      <c r="X42" s="169">
        <f t="shared" si="28"/>
        <v>13680000</v>
      </c>
      <c r="Y42" s="169">
        <f>36*360*1000</f>
        <v>12960000</v>
      </c>
      <c r="Z42" s="169">
        <f t="shared" ref="Z42:AA42" si="29">36*360*1000</f>
        <v>12960000</v>
      </c>
      <c r="AA42" s="169">
        <f t="shared" si="29"/>
        <v>12960000</v>
      </c>
      <c r="AB42" s="182">
        <f>36*360*1000</f>
        <v>12960000</v>
      </c>
      <c r="AC42" s="182">
        <f t="shared" ref="AC42:AD42" si="30">36*360*1000</f>
        <v>12960000</v>
      </c>
      <c r="AD42" s="182">
        <f t="shared" si="30"/>
        <v>12960000</v>
      </c>
      <c r="AE42" s="182">
        <f>40*360*1000</f>
        <v>14400000</v>
      </c>
      <c r="AF42" s="182">
        <f>40*360*1000</f>
        <v>14400000</v>
      </c>
      <c r="AG42" s="182">
        <f>40*360*1000</f>
        <v>14400000</v>
      </c>
      <c r="AH42" s="169">
        <f>36*360*1000</f>
        <v>12960000</v>
      </c>
      <c r="AI42" s="169">
        <f t="shared" ref="AI42" si="31">36*360*1000</f>
        <v>12960000</v>
      </c>
      <c r="AJ42" s="182">
        <f>36*360*1000</f>
        <v>12960000</v>
      </c>
      <c r="AK42" s="182">
        <f t="shared" ref="AK42:AL42" si="32">36*360*1000</f>
        <v>12960000</v>
      </c>
      <c r="AL42" s="182">
        <f t="shared" si="32"/>
        <v>12960000</v>
      </c>
    </row>
    <row r="43" spans="1:38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  <c r="AH43" s="164" t="s">
        <v>16</v>
      </c>
      <c r="AI43" s="164" t="s">
        <v>16</v>
      </c>
      <c r="AJ43" s="178" t="s">
        <v>16</v>
      </c>
      <c r="AK43" s="178" t="s">
        <v>16</v>
      </c>
      <c r="AL43" s="178" t="s">
        <v>16</v>
      </c>
    </row>
    <row r="44" spans="1:38">
      <c r="A44" s="8" t="s">
        <v>72</v>
      </c>
      <c r="B44" s="29">
        <f t="shared" ref="B44:L44" si="33">B40+10*LOG10(B42)</f>
        <v>-95.873949984654288</v>
      </c>
      <c r="C44" s="29">
        <f t="shared" si="33"/>
        <v>-95.873949984654288</v>
      </c>
      <c r="D44" s="29">
        <f t="shared" si="33"/>
        <v>-95.873949984654288</v>
      </c>
      <c r="E44" s="29">
        <f t="shared" si="33"/>
        <v>-95.754957751657201</v>
      </c>
      <c r="F44" s="29">
        <f t="shared" si="33"/>
        <v>-95.754957751657201</v>
      </c>
      <c r="G44" s="73">
        <f t="shared" si="33"/>
        <v>-95.873949984654288</v>
      </c>
      <c r="H44" s="73">
        <f t="shared" si="33"/>
        <v>-95.873949984654288</v>
      </c>
      <c r="I44" s="73">
        <f t="shared" si="33"/>
        <v>-95.873949984654288</v>
      </c>
      <c r="J44" s="13">
        <f t="shared" si="33"/>
        <v>-92.894038213884087</v>
      </c>
      <c r="K44" s="13">
        <f t="shared" si="33"/>
        <v>-92.894038213884087</v>
      </c>
      <c r="L44" s="13">
        <f t="shared" si="33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34">P40+10*LOG10(P42)</f>
        <v>-93.744146110967563</v>
      </c>
      <c r="Q44" s="164">
        <f t="shared" si="34"/>
        <v>-93.744146110967563</v>
      </c>
      <c r="R44" s="164">
        <f t="shared" si="34"/>
        <v>-93.744146110967563</v>
      </c>
      <c r="S44" s="166">
        <f t="shared" si="34"/>
        <v>-95.873949984654288</v>
      </c>
      <c r="T44" s="166">
        <f t="shared" si="34"/>
        <v>-95.873949984654288</v>
      </c>
      <c r="U44" s="166">
        <f t="shared" si="34"/>
        <v>-95.873949984654288</v>
      </c>
      <c r="V44" s="166">
        <f t="shared" ref="V44:AA44" si="35">V40+10*LOG10(V42)</f>
        <v>-93.628327385469419</v>
      </c>
      <c r="W44" s="166">
        <f t="shared" si="35"/>
        <v>-93.628327385469419</v>
      </c>
      <c r="X44" s="166">
        <f t="shared" si="35"/>
        <v>-93.628327385469419</v>
      </c>
      <c r="Y44" s="166">
        <f t="shared" si="35"/>
        <v>-95.873949984654288</v>
      </c>
      <c r="Z44" s="166">
        <f t="shared" si="35"/>
        <v>-95.873949984654288</v>
      </c>
      <c r="AA44" s="166">
        <f t="shared" si="35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  <c r="AE44" s="178">
        <f t="shared" ref="AE44:AL44" si="36">AE40+10*LOG10(AE42)</f>
        <v>-91.285814952510762</v>
      </c>
      <c r="AF44" s="178">
        <f t="shared" si="36"/>
        <v>-91.285814952510762</v>
      </c>
      <c r="AG44" s="178">
        <f t="shared" si="36"/>
        <v>-91.285814952510762</v>
      </c>
      <c r="AH44" s="164">
        <f t="shared" si="36"/>
        <v>-95.873949984654288</v>
      </c>
      <c r="AI44" s="164">
        <f t="shared" si="36"/>
        <v>-95.873949984654288</v>
      </c>
      <c r="AJ44" s="178">
        <f t="shared" si="36"/>
        <v>-95.873949984654288</v>
      </c>
      <c r="AK44" s="178">
        <f t="shared" si="36"/>
        <v>-95.873949984654288</v>
      </c>
      <c r="AL44" s="178">
        <f t="shared" si="36"/>
        <v>-95.873949984654288</v>
      </c>
    </row>
    <row r="45" spans="1:38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  <c r="AH45" s="164" t="s">
        <v>16</v>
      </c>
      <c r="AI45" s="164" t="s">
        <v>16</v>
      </c>
      <c r="AJ45" s="178" t="s">
        <v>16</v>
      </c>
      <c r="AK45" s="178" t="s">
        <v>16</v>
      </c>
      <c r="AL45" s="178" t="s">
        <v>16</v>
      </c>
    </row>
    <row r="46" spans="1:38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  <c r="AE46" s="182">
        <v>-8</v>
      </c>
      <c r="AF46" s="182">
        <v>-5.5</v>
      </c>
      <c r="AG46" s="182">
        <v>-2.2000000000000002</v>
      </c>
      <c r="AH46" s="169">
        <v>-9.6</v>
      </c>
      <c r="AI46" s="169">
        <v>-6.5</v>
      </c>
      <c r="AJ46" s="182">
        <v>-7.78</v>
      </c>
      <c r="AK46" s="182">
        <v>-5.03</v>
      </c>
      <c r="AL46" s="182">
        <v>-1.9</v>
      </c>
    </row>
    <row r="47" spans="1:38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  <c r="AH47" s="164">
        <v>2</v>
      </c>
      <c r="AI47" s="164">
        <v>2</v>
      </c>
      <c r="AJ47" s="178">
        <v>2</v>
      </c>
      <c r="AK47" s="178">
        <v>2</v>
      </c>
      <c r="AL47" s="178">
        <v>2</v>
      </c>
    </row>
    <row r="48" spans="1:38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  <c r="AH48" s="164" t="s">
        <v>16</v>
      </c>
      <c r="AI48" s="164" t="s">
        <v>16</v>
      </c>
      <c r="AJ48" s="178" t="s">
        <v>16</v>
      </c>
      <c r="AK48" s="178" t="s">
        <v>16</v>
      </c>
      <c r="AL48" s="178" t="s">
        <v>16</v>
      </c>
    </row>
    <row r="49" spans="1:3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  <c r="AH49" s="164">
        <v>0</v>
      </c>
      <c r="AI49" s="164">
        <v>0</v>
      </c>
      <c r="AJ49" s="178">
        <v>0</v>
      </c>
      <c r="AK49" s="178">
        <v>0</v>
      </c>
      <c r="AL49" s="178">
        <v>0</v>
      </c>
    </row>
    <row r="50" spans="1:38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  <c r="AH50" s="191" t="s">
        <v>16</v>
      </c>
      <c r="AI50" s="191" t="s">
        <v>16</v>
      </c>
      <c r="AJ50" s="183" t="s">
        <v>16</v>
      </c>
      <c r="AK50" s="183" t="s">
        <v>16</v>
      </c>
      <c r="AL50" s="183" t="s">
        <v>16</v>
      </c>
    </row>
    <row r="51" spans="1:38" ht="28">
      <c r="A51" s="8" t="s">
        <v>82</v>
      </c>
      <c r="B51" s="29">
        <f t="shared" ref="B51:L51" si="37">B44+B46+B47-B49</f>
        <v>-101.47394998465428</v>
      </c>
      <c r="C51" s="29">
        <f t="shared" si="37"/>
        <v>-98.873949984654288</v>
      </c>
      <c r="D51" s="29">
        <f t="shared" si="37"/>
        <v>-95.273949984654294</v>
      </c>
      <c r="E51" s="29">
        <f t="shared" si="37"/>
        <v>-105.8849577516572</v>
      </c>
      <c r="F51" s="29">
        <f t="shared" si="37"/>
        <v>-102.21495775165721</v>
      </c>
      <c r="G51" s="73">
        <f t="shared" si="37"/>
        <v>-104.29394998465429</v>
      </c>
      <c r="H51" s="73">
        <f t="shared" si="37"/>
        <v>-101.06394998465429</v>
      </c>
      <c r="I51" s="73">
        <f t="shared" si="37"/>
        <v>-97.29394998465429</v>
      </c>
      <c r="J51" s="13">
        <f t="shared" si="37"/>
        <v>-100.33403821388409</v>
      </c>
      <c r="K51" s="13">
        <f t="shared" si="37"/>
        <v>-96.264038213884092</v>
      </c>
      <c r="L51" s="13">
        <f t="shared" si="37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38">P44+P46+P47-P49</f>
        <v>-97.844146110967557</v>
      </c>
      <c r="Q51" s="164">
        <f t="shared" si="38"/>
        <v>-94.944146110967566</v>
      </c>
      <c r="R51" s="164">
        <f t="shared" si="38"/>
        <v>-91.444146110967566</v>
      </c>
      <c r="S51" s="166">
        <f t="shared" si="38"/>
        <v>-101.68394998465429</v>
      </c>
      <c r="T51" s="166">
        <f t="shared" si="38"/>
        <v>-98.123949984654288</v>
      </c>
      <c r="U51" s="166">
        <f t="shared" si="38"/>
        <v>-94.003949984654284</v>
      </c>
      <c r="V51" s="166">
        <f t="shared" ref="V51:AA51" si="39">V44+V46+V47-V49</f>
        <v>-99.748327385469423</v>
      </c>
      <c r="W51" s="166">
        <f t="shared" si="39"/>
        <v>-96.508327385469414</v>
      </c>
      <c r="X51" s="166">
        <f t="shared" si="39"/>
        <v>-92.628327385469419</v>
      </c>
      <c r="Y51" s="166">
        <f t="shared" si="39"/>
        <v>-102.87394998465429</v>
      </c>
      <c r="Z51" s="166">
        <f t="shared" si="39"/>
        <v>-99.873949984654288</v>
      </c>
      <c r="AA51" s="166">
        <f t="shared" si="39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  <c r="AE51" s="178">
        <f t="shared" ref="AE51:AL51" si="40">AE44+AE46+AE47-AE49</f>
        <v>-97.285814952510762</v>
      </c>
      <c r="AF51" s="178">
        <f t="shared" si="40"/>
        <v>-94.785814952510762</v>
      </c>
      <c r="AG51" s="178">
        <f t="shared" si="40"/>
        <v>-91.485814952510765</v>
      </c>
      <c r="AH51" s="164">
        <f t="shared" si="40"/>
        <v>-103.47394998465428</v>
      </c>
      <c r="AI51" s="164">
        <f t="shared" si="40"/>
        <v>-100.37394998465429</v>
      </c>
      <c r="AJ51" s="178">
        <f t="shared" si="40"/>
        <v>-101.65394998465429</v>
      </c>
      <c r="AK51" s="178">
        <f t="shared" si="40"/>
        <v>-98.90394998465429</v>
      </c>
      <c r="AL51" s="178">
        <f t="shared" si="40"/>
        <v>-95.773949984654294</v>
      </c>
    </row>
    <row r="52" spans="1:38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  <c r="AH52" s="193" t="s">
        <v>16</v>
      </c>
      <c r="AI52" s="193" t="s">
        <v>16</v>
      </c>
      <c r="AJ52" s="195" t="s">
        <v>16</v>
      </c>
      <c r="AK52" s="195" t="s">
        <v>16</v>
      </c>
      <c r="AL52" s="195" t="s">
        <v>16</v>
      </c>
    </row>
    <row r="53" spans="1:38" ht="28">
      <c r="A53" s="22" t="s">
        <v>85</v>
      </c>
      <c r="B53" s="37">
        <f t="shared" ref="B53:G53" si="41">B26+B30+B33-B34-B51</f>
        <v>162.37121254719665</v>
      </c>
      <c r="C53" s="37">
        <f t="shared" si="41"/>
        <v>156.77121254719668</v>
      </c>
      <c r="D53" s="37">
        <f t="shared" si="41"/>
        <v>153.17121254719666</v>
      </c>
      <c r="E53" s="37">
        <f t="shared" si="41"/>
        <v>148.56121254719665</v>
      </c>
      <c r="F53" s="37">
        <f t="shared" si="41"/>
        <v>141.89121254719666</v>
      </c>
      <c r="G53" s="78">
        <f t="shared" si="41"/>
        <v>156.19121254719667</v>
      </c>
      <c r="H53" s="78">
        <f t="shared" ref="H53:L53" si="42">H26+H30+H33-H34-H51</f>
        <v>149.96121254719665</v>
      </c>
      <c r="I53" s="78">
        <f t="shared" si="42"/>
        <v>146.19121254719667</v>
      </c>
      <c r="J53" s="23">
        <f t="shared" si="42"/>
        <v>158.6019006897061</v>
      </c>
      <c r="K53" s="23">
        <f t="shared" si="42"/>
        <v>151.53190068970611</v>
      </c>
      <c r="L53" s="23">
        <f t="shared" si="42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43">Q26+Q30+Q33-Q34-Q51</f>
        <v>160.01040090650702</v>
      </c>
      <c r="R53" s="171">
        <f t="shared" si="43"/>
        <v>156.51040090650702</v>
      </c>
      <c r="S53" s="171">
        <f>S26+S30+S33-S34-S51</f>
        <v>153.58121254719666</v>
      </c>
      <c r="T53" s="171">
        <f t="shared" ref="T53:U53" si="44">T26+T30+T33-T34-T51</f>
        <v>147.02121254719665</v>
      </c>
      <c r="U53" s="171">
        <f t="shared" si="44"/>
        <v>142.90121254719665</v>
      </c>
      <c r="V53" s="171">
        <f>V26+V30+V33-V34-V51</f>
        <v>160.88040090650702</v>
      </c>
      <c r="W53" s="171">
        <f t="shared" ref="W53:X53" si="45">W26+W30+W33-W34-W51</f>
        <v>154.64040090650701</v>
      </c>
      <c r="X53" s="171">
        <f t="shared" si="45"/>
        <v>150.76040090650702</v>
      </c>
      <c r="Y53" s="171">
        <f>Y26+Y30+Y33-Y34-Y51</f>
        <v>154.77121254719665</v>
      </c>
      <c r="Z53" s="171">
        <f t="shared" ref="Z53:AA53" si="46">Z26+Z30+Z33-Z34-Z51</f>
        <v>148.77121254719665</v>
      </c>
      <c r="AA53" s="171">
        <f t="shared" si="46"/>
        <v>145.77121254719665</v>
      </c>
      <c r="AB53" s="179">
        <f>AB26+AB30+AB33-AB34-AB51</f>
        <v>146.47121254719667</v>
      </c>
      <c r="AC53" s="179">
        <f t="shared" ref="AC53:AD53" si="47">AC26+AC30+AC33-AC34-AC51</f>
        <v>139.87121254719665</v>
      </c>
      <c r="AD53" s="179">
        <f t="shared" si="47"/>
        <v>135.97121254719667</v>
      </c>
      <c r="AE53" s="179">
        <f>AE26+AE30+AE33-AE34-AE51</f>
        <v>148.64065242065988</v>
      </c>
      <c r="AF53" s="179">
        <f t="shared" ref="AF53:AG53" si="48">AF26+AF30+AF33-AF34-AF51</f>
        <v>143.14065242065988</v>
      </c>
      <c r="AG53" s="179">
        <f t="shared" si="48"/>
        <v>139.84065242065989</v>
      </c>
      <c r="AH53" s="171">
        <f>AH26+AH30+AH33-AH34-AH51</f>
        <v>154.66121254719667</v>
      </c>
      <c r="AI53" s="171">
        <f t="shared" ref="AI53" si="49">AI26+AI30+AI33-AI34-AI51</f>
        <v>148.56121254719665</v>
      </c>
      <c r="AJ53" s="179">
        <f>AJ26+AJ30+AJ33-AJ34-AJ51</f>
        <v>162.55121254719666</v>
      </c>
      <c r="AK53" s="179">
        <f t="shared" ref="AK53:AL53" si="50">AK26+AK30+AK33-AK34-AK51</f>
        <v>156.80121254719666</v>
      </c>
      <c r="AL53" s="179">
        <f t="shared" si="50"/>
        <v>153.67121254719666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  <c r="AH54" s="168"/>
      <c r="AI54" s="168"/>
      <c r="AJ54" s="177"/>
      <c r="AK54" s="177"/>
      <c r="AL54" s="177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  <c r="AH55" s="163">
        <v>7</v>
      </c>
      <c r="AI55" s="163">
        <v>7</v>
      </c>
      <c r="AJ55" s="186">
        <v>7</v>
      </c>
      <c r="AK55" s="186">
        <v>7</v>
      </c>
      <c r="AL55" s="186">
        <v>7</v>
      </c>
    </row>
    <row r="56" spans="1:38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  <c r="AH56" s="191" t="s">
        <v>16</v>
      </c>
      <c r="AI56" s="191" t="s">
        <v>16</v>
      </c>
      <c r="AJ56" s="183" t="s">
        <v>16</v>
      </c>
      <c r="AK56" s="183" t="s">
        <v>16</v>
      </c>
      <c r="AL56" s="183" t="s">
        <v>16</v>
      </c>
    </row>
    <row r="57" spans="1:38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  <c r="AH57" s="163">
        <v>4.4800000000000004</v>
      </c>
      <c r="AI57" s="163">
        <v>4.4800000000000004</v>
      </c>
      <c r="AJ57" s="186">
        <v>4.4800000000000004</v>
      </c>
      <c r="AK57" s="186">
        <v>4.4800000000000004</v>
      </c>
      <c r="AL57" s="186">
        <v>4.4800000000000004</v>
      </c>
    </row>
    <row r="58" spans="1:38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  <c r="AH58" s="163">
        <v>0</v>
      </c>
      <c r="AI58" s="163">
        <v>0</v>
      </c>
      <c r="AJ58" s="186">
        <v>0</v>
      </c>
      <c r="AK58" s="186">
        <v>0</v>
      </c>
      <c r="AL58" s="186">
        <v>0</v>
      </c>
    </row>
    <row r="59" spans="1:38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  <c r="AH59" s="163">
        <v>26.25</v>
      </c>
      <c r="AI59" s="163">
        <v>26.25</v>
      </c>
      <c r="AJ59" s="186">
        <v>26.25</v>
      </c>
      <c r="AK59" s="186">
        <v>26.25</v>
      </c>
      <c r="AL59" s="186">
        <v>26.25</v>
      </c>
    </row>
    <row r="60" spans="1:38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  <c r="AH60" s="163">
        <v>0</v>
      </c>
      <c r="AI60" s="163">
        <v>0</v>
      </c>
      <c r="AJ60" s="186">
        <v>0</v>
      </c>
      <c r="AK60" s="186">
        <v>0</v>
      </c>
      <c r="AL60" s="186">
        <v>0</v>
      </c>
    </row>
    <row r="61" spans="1:38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  <c r="AH61" s="193" t="s">
        <v>16</v>
      </c>
      <c r="AI61" s="193" t="s">
        <v>16</v>
      </c>
      <c r="AJ61" s="195" t="s">
        <v>16</v>
      </c>
      <c r="AK61" s="195" t="s">
        <v>16</v>
      </c>
      <c r="AL61" s="195" t="s">
        <v>16</v>
      </c>
    </row>
    <row r="62" spans="1:38" ht="28">
      <c r="A62" s="22" t="s">
        <v>109</v>
      </c>
      <c r="B62" s="37">
        <f t="shared" ref="B62:G62" si="51">B53-B57+B58-B59+B60</f>
        <v>131.64121254719666</v>
      </c>
      <c r="C62" s="37">
        <f t="shared" si="51"/>
        <v>126.04121254719669</v>
      </c>
      <c r="D62" s="37">
        <f t="shared" si="51"/>
        <v>122.44121254719667</v>
      </c>
      <c r="E62" s="37">
        <f t="shared" si="51"/>
        <v>117.83121254719666</v>
      </c>
      <c r="F62" s="37">
        <f t="shared" si="51"/>
        <v>111.16121254719667</v>
      </c>
      <c r="G62" s="78">
        <f t="shared" si="51"/>
        <v>125.46121254719668</v>
      </c>
      <c r="H62" s="78">
        <f t="shared" ref="H62:L62" si="52">H53-H57+H58-H59+H60</f>
        <v>119.23121254719666</v>
      </c>
      <c r="I62" s="78">
        <f t="shared" si="52"/>
        <v>115.46121254719668</v>
      </c>
      <c r="J62" s="23">
        <f t="shared" si="52"/>
        <v>127.87190068970611</v>
      </c>
      <c r="K62" s="23">
        <f t="shared" si="52"/>
        <v>120.80190068970612</v>
      </c>
      <c r="L62" s="23">
        <f t="shared" si="52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53">Q53-Q57+Q58-Q59+Q60</f>
        <v>129.28040090650703</v>
      </c>
      <c r="R62" s="171">
        <f t="shared" si="53"/>
        <v>125.78040090650703</v>
      </c>
      <c r="S62" s="171">
        <f>S53-S57+S58-S59+S60</f>
        <v>122.85121254719667</v>
      </c>
      <c r="T62" s="171">
        <f t="shared" ref="T62:U62" si="54">T53-T57+T58-T59+T60</f>
        <v>116.29121254719666</v>
      </c>
      <c r="U62" s="171">
        <f t="shared" si="54"/>
        <v>112.17121254719666</v>
      </c>
      <c r="V62" s="171">
        <f>V53-V57+V58-V59+V60</f>
        <v>130.15040090650703</v>
      </c>
      <c r="W62" s="171">
        <f t="shared" ref="W62:X62" si="55">W53-W57+W58-W59+W60</f>
        <v>123.91040090650702</v>
      </c>
      <c r="X62" s="171">
        <f t="shared" si="55"/>
        <v>120.03040090650703</v>
      </c>
      <c r="Y62" s="171">
        <f>Y53-Y57+Y58-Y59+Y60</f>
        <v>124.04121254719666</v>
      </c>
      <c r="Z62" s="171">
        <f t="shared" ref="Z62:AA62" si="56">Z53-Z57+Z58-Z59+Z60</f>
        <v>118.04121254719666</v>
      </c>
      <c r="AA62" s="171">
        <f t="shared" si="56"/>
        <v>115.04121254719666</v>
      </c>
      <c r="AB62" s="179">
        <f>AB53-AB57+AB58-AB59+AB60</f>
        <v>115.74121254719668</v>
      </c>
      <c r="AC62" s="179">
        <f t="shared" ref="AC62:AD62" si="57">AC53-AC57+AC58-AC59+AC60</f>
        <v>109.14121254719666</v>
      </c>
      <c r="AD62" s="179">
        <f t="shared" si="57"/>
        <v>105.24121254719668</v>
      </c>
      <c r="AE62" s="179">
        <f>AE53-AE57+AE58-AE59+AE60</f>
        <v>117.91065242065989</v>
      </c>
      <c r="AF62" s="179">
        <f t="shared" ref="AF62:AG62" si="58">AF53-AF57+AF58-AF59+AF60</f>
        <v>112.41065242065989</v>
      </c>
      <c r="AG62" s="179">
        <f t="shared" si="58"/>
        <v>109.1106524206599</v>
      </c>
      <c r="AH62" s="171">
        <f>AH53-AH57+AH58-AH59+AH60</f>
        <v>123.93121254719668</v>
      </c>
      <c r="AI62" s="171">
        <f t="shared" ref="AI62" si="59">AI53-AI57+AI58-AI59+AI60</f>
        <v>117.83121254719666</v>
      </c>
      <c r="AJ62" s="179">
        <f>AJ53-AJ57+AJ58-AJ59+AJ60</f>
        <v>131.82121254719667</v>
      </c>
      <c r="AK62" s="179">
        <f t="shared" ref="AK62:AL62" si="60">AK53-AK57+AK58-AK59+AK60</f>
        <v>126.07121254719667</v>
      </c>
      <c r="AL62" s="179">
        <f t="shared" si="60"/>
        <v>122.94121254719667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  <c r="AI63" s="194"/>
      <c r="AJ63" s="2"/>
      <c r="AK63" s="2"/>
      <c r="AL63" s="2"/>
    </row>
    <row r="64" spans="1:38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  <c r="AH64" s="193" t="s">
        <v>16</v>
      </c>
      <c r="AI64" s="193" t="s">
        <v>16</v>
      </c>
      <c r="AJ64" s="195" t="s">
        <v>16</v>
      </c>
      <c r="AK64" s="195" t="s">
        <v>16</v>
      </c>
      <c r="AL64" s="195" t="s">
        <v>16</v>
      </c>
    </row>
    <row r="65" spans="1:38">
      <c r="A65" s="22" t="s">
        <v>98</v>
      </c>
      <c r="B65" s="37">
        <f t="shared" ref="B65:L65" si="61">B17-B23-B51+B21+B33</f>
        <v>153.60000000000002</v>
      </c>
      <c r="C65" s="37">
        <f t="shared" si="61"/>
        <v>151.00000000000003</v>
      </c>
      <c r="D65" s="37">
        <f t="shared" si="61"/>
        <v>147.40000000000003</v>
      </c>
      <c r="E65" s="37">
        <f t="shared" si="61"/>
        <v>142.74000000000004</v>
      </c>
      <c r="F65" s="37">
        <f t="shared" si="61"/>
        <v>139.07000000000005</v>
      </c>
      <c r="G65" s="78">
        <f t="shared" si="61"/>
        <v>147.42000000000004</v>
      </c>
      <c r="H65" s="78">
        <f t="shared" si="61"/>
        <v>144.19000000000003</v>
      </c>
      <c r="I65" s="78">
        <f t="shared" si="61"/>
        <v>140.42000000000004</v>
      </c>
      <c r="J65" s="23">
        <f t="shared" si="61"/>
        <v>152.48068814250945</v>
      </c>
      <c r="K65" s="23">
        <f t="shared" si="61"/>
        <v>148.41068814250946</v>
      </c>
      <c r="L65" s="23">
        <f t="shared" si="61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62">P17-P23-P51+P21+P33</f>
        <v>157.1391883593104</v>
      </c>
      <c r="Q65" s="171">
        <f t="shared" si="62"/>
        <v>154.23918835931039</v>
      </c>
      <c r="R65" s="171">
        <f t="shared" si="62"/>
        <v>150.73918835931039</v>
      </c>
      <c r="S65" s="171">
        <f t="shared" si="62"/>
        <v>144.81000000000003</v>
      </c>
      <c r="T65" s="171">
        <f t="shared" si="62"/>
        <v>141.25000000000003</v>
      </c>
      <c r="U65" s="171">
        <f t="shared" si="62"/>
        <v>137.13000000000002</v>
      </c>
      <c r="V65" s="171">
        <f t="shared" ref="V65:AA65" si="63">V17-V23-V51+V21+V33</f>
        <v>152.10918835931039</v>
      </c>
      <c r="W65" s="171">
        <f t="shared" si="63"/>
        <v>148.86918835931039</v>
      </c>
      <c r="X65" s="171">
        <f t="shared" si="63"/>
        <v>144.98918835931039</v>
      </c>
      <c r="Y65" s="171">
        <f t="shared" si="63"/>
        <v>146.00000000000003</v>
      </c>
      <c r="Z65" s="171">
        <f t="shared" si="63"/>
        <v>143.00000000000003</v>
      </c>
      <c r="AA65" s="171">
        <f t="shared" si="63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  <c r="AE65" s="179">
        <f t="shared" ref="AE65:AL65" si="64">AE17-AE23-AE51+AE21+AE33</f>
        <v>139.86943987346325</v>
      </c>
      <c r="AF65" s="179">
        <f t="shared" si="64"/>
        <v>137.36943987346325</v>
      </c>
      <c r="AG65" s="179">
        <f t="shared" si="64"/>
        <v>134.06943987346327</v>
      </c>
      <c r="AH65" s="171">
        <f t="shared" si="64"/>
        <v>150.60000000000002</v>
      </c>
      <c r="AI65" s="171">
        <f t="shared" si="64"/>
        <v>147.50000000000003</v>
      </c>
      <c r="AJ65" s="179">
        <f t="shared" si="64"/>
        <v>153.78000000000003</v>
      </c>
      <c r="AK65" s="179">
        <f t="shared" si="64"/>
        <v>151.03000000000003</v>
      </c>
      <c r="AL65" s="179">
        <f t="shared" si="64"/>
        <v>147.90000000000003</v>
      </c>
    </row>
  </sheetData>
  <mergeCells count="13">
    <mergeCell ref="AJ1:AL1"/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5"/>
  <sheetViews>
    <sheetView tabSelected="1" workbookViewId="0">
      <pane xSplit="1" ySplit="1" topLeftCell="V2" activePane="bottomRight" state="frozen"/>
      <selection pane="topRight"/>
      <selection pane="bottomLeft"/>
      <selection pane="bottomRight" activeCell="Z1" sqref="Z1:AA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6640625" style="2" customWidth="1"/>
    <col min="19" max="19" width="15.6640625" style="3" customWidth="1"/>
    <col min="20" max="20" width="15.6640625" style="2" customWidth="1"/>
    <col min="21" max="21" width="15.6640625" style="3" customWidth="1"/>
    <col min="22" max="22" width="15.6640625" style="2" customWidth="1"/>
    <col min="23" max="23" width="15.6640625" style="3" customWidth="1"/>
    <col min="24" max="24" width="15.6640625" style="194" customWidth="1"/>
    <col min="25" max="25" width="15.6640625" style="3" customWidth="1"/>
    <col min="26" max="26" width="13.6640625" style="3" customWidth="1"/>
    <col min="27" max="27" width="14.5" style="3" customWidth="1"/>
    <col min="28" max="16384" width="9" style="3"/>
  </cols>
  <sheetData>
    <row r="1" spans="1:2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127</v>
      </c>
      <c r="Q1" s="205"/>
      <c r="R1" s="205" t="s">
        <v>128</v>
      </c>
      <c r="S1" s="205"/>
      <c r="T1" s="205" t="s">
        <v>129</v>
      </c>
      <c r="U1" s="205"/>
      <c r="V1" s="205" t="s">
        <v>131</v>
      </c>
      <c r="W1" s="205"/>
      <c r="X1" s="205" t="s">
        <v>132</v>
      </c>
      <c r="Y1" s="205"/>
      <c r="Z1" s="205" t="s">
        <v>130</v>
      </c>
      <c r="AA1" s="205"/>
    </row>
    <row r="2" spans="1:2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74" t="s">
        <v>102</v>
      </c>
      <c r="Y2" s="198" t="s">
        <v>110</v>
      </c>
      <c r="Z2" s="184" t="s">
        <v>102</v>
      </c>
      <c r="AA2" s="185" t="s">
        <v>110</v>
      </c>
    </row>
    <row r="3" spans="1:27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</row>
    <row r="4" spans="1:2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64">
        <v>100</v>
      </c>
      <c r="Y4" s="164">
        <v>100</v>
      </c>
      <c r="Z4" s="178">
        <v>100</v>
      </c>
      <c r="AA4" s="178">
        <v>100</v>
      </c>
    </row>
    <row r="5" spans="1:2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91" t="s">
        <v>16</v>
      </c>
      <c r="Y5" s="191" t="s">
        <v>16</v>
      </c>
      <c r="Z5" s="183" t="s">
        <v>16</v>
      </c>
      <c r="AA5" s="183" t="s">
        <v>16</v>
      </c>
    </row>
    <row r="6" spans="1:2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83" t="s">
        <v>16</v>
      </c>
      <c r="W6" s="183" t="s">
        <v>16</v>
      </c>
      <c r="X6" s="191" t="s">
        <v>16</v>
      </c>
      <c r="Y6" s="191" t="s">
        <v>16</v>
      </c>
      <c r="Z6" s="183" t="s">
        <v>16</v>
      </c>
      <c r="AA6" s="183" t="s">
        <v>16</v>
      </c>
    </row>
    <row r="7" spans="1:2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91" t="s">
        <v>16</v>
      </c>
      <c r="Y7" s="191" t="s">
        <v>16</v>
      </c>
      <c r="Z7" s="183" t="s">
        <v>16</v>
      </c>
      <c r="AA7" s="183" t="s">
        <v>16</v>
      </c>
    </row>
    <row r="8" spans="1:2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92">
        <v>0.1</v>
      </c>
      <c r="Y8" s="192">
        <v>0.1</v>
      </c>
      <c r="Z8" s="181">
        <v>0.1</v>
      </c>
      <c r="AA8" s="181">
        <v>0.1</v>
      </c>
    </row>
    <row r="9" spans="1:27" ht="28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64" t="s">
        <v>22</v>
      </c>
      <c r="Y9" s="164" t="s">
        <v>22</v>
      </c>
      <c r="Z9" s="178" t="s">
        <v>22</v>
      </c>
      <c r="AA9" s="178" t="s">
        <v>22</v>
      </c>
    </row>
    <row r="10" spans="1:2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64">
        <v>3</v>
      </c>
      <c r="Y10" s="164">
        <v>3</v>
      </c>
      <c r="Z10" s="178">
        <v>3</v>
      </c>
      <c r="AA10" s="178">
        <v>3</v>
      </c>
    </row>
    <row r="11" spans="1:2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68"/>
      <c r="Y11" s="168"/>
      <c r="Z11" s="177"/>
      <c r="AA11" s="177"/>
    </row>
    <row r="12" spans="1:2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64">
        <v>1</v>
      </c>
      <c r="Y12" s="164">
        <v>1</v>
      </c>
      <c r="Z12" s="178">
        <v>1</v>
      </c>
      <c r="AA12" s="178">
        <v>1</v>
      </c>
    </row>
    <row r="13" spans="1:2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64">
        <v>64</v>
      </c>
      <c r="Y13" s="164">
        <v>64</v>
      </c>
      <c r="Z13" s="178">
        <v>64</v>
      </c>
      <c r="AA13" s="178">
        <v>64</v>
      </c>
    </row>
    <row r="14" spans="1:2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64">
        <v>1</v>
      </c>
      <c r="Y14" s="164">
        <v>1</v>
      </c>
      <c r="Z14" s="178">
        <v>1</v>
      </c>
      <c r="AA14" s="178">
        <v>1</v>
      </c>
    </row>
    <row r="15" spans="1:2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64" t="s">
        <v>16</v>
      </c>
      <c r="Y15" s="164" t="s">
        <v>16</v>
      </c>
      <c r="Z15" s="178" t="s">
        <v>16</v>
      </c>
      <c r="AA15" s="178" t="s">
        <v>16</v>
      </c>
    </row>
    <row r="16" spans="1:2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64">
        <v>23</v>
      </c>
      <c r="Y16" s="164">
        <v>23</v>
      </c>
      <c r="Z16" s="178">
        <v>23</v>
      </c>
      <c r="AA16" s="178">
        <v>23</v>
      </c>
    </row>
    <row r="17" spans="1:2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64">
        <v>23</v>
      </c>
      <c r="Y17" s="164">
        <v>23</v>
      </c>
      <c r="Z17" s="178">
        <v>23</v>
      </c>
      <c r="AA17" s="178">
        <v>23</v>
      </c>
    </row>
    <row r="18" spans="1:27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64">
        <f>X19+10*LOG10(X12/X14)-X20</f>
        <v>0</v>
      </c>
      <c r="Y18" s="164">
        <f>Y19+10*LOG10(Y12/Y14)-Y20</f>
        <v>-3</v>
      </c>
      <c r="Z18" s="178">
        <f t="shared" ref="Z18:AA18" si="3">Z19+10*LOG10(Z12/Z14)-Z20</f>
        <v>0</v>
      </c>
      <c r="AA18" s="178">
        <f t="shared" si="3"/>
        <v>-3</v>
      </c>
    </row>
    <row r="19" spans="1:2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64">
        <v>0</v>
      </c>
      <c r="Y19" s="164">
        <v>-3</v>
      </c>
      <c r="Z19" s="178">
        <v>0</v>
      </c>
      <c r="AA19" s="178">
        <v>-3</v>
      </c>
    </row>
    <row r="20" spans="1:2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64">
        <v>0</v>
      </c>
      <c r="Y20" s="164">
        <v>0</v>
      </c>
      <c r="Z20" s="178">
        <v>0</v>
      </c>
      <c r="AA20" s="178">
        <v>0</v>
      </c>
    </row>
    <row r="21" spans="1:2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64">
        <v>0</v>
      </c>
      <c r="Y21" s="164">
        <v>0</v>
      </c>
      <c r="Z21" s="178">
        <v>0</v>
      </c>
      <c r="AA21" s="178">
        <v>0</v>
      </c>
    </row>
    <row r="22" spans="1:2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64">
        <v>0</v>
      </c>
      <c r="Y22" s="164">
        <v>0</v>
      </c>
      <c r="Z22" s="178">
        <v>0</v>
      </c>
      <c r="AA22" s="178">
        <v>0</v>
      </c>
    </row>
    <row r="23" spans="1:2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64">
        <v>0</v>
      </c>
      <c r="Y23" s="164">
        <v>0</v>
      </c>
      <c r="Z23" s="178">
        <v>0</v>
      </c>
      <c r="AA23" s="178">
        <v>0</v>
      </c>
    </row>
    <row r="24" spans="1:2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64">
        <v>1</v>
      </c>
      <c r="Y24" s="164">
        <v>1</v>
      </c>
      <c r="Z24" s="178">
        <v>1</v>
      </c>
      <c r="AA24" s="178">
        <v>1</v>
      </c>
    </row>
    <row r="25" spans="1:2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91" t="s">
        <v>16</v>
      </c>
      <c r="Y25" s="191" t="s">
        <v>16</v>
      </c>
      <c r="Z25" s="183" t="s">
        <v>16</v>
      </c>
      <c r="AA25" s="183" t="s">
        <v>16</v>
      </c>
    </row>
    <row r="26" spans="1:27">
      <c r="A26" s="8" t="s">
        <v>51</v>
      </c>
      <c r="B26" s="9">
        <f t="shared" ref="B26:I26" si="4">B17+B18+B21-B23-B24</f>
        <v>22</v>
      </c>
      <c r="C26" s="9">
        <f t="shared" si="4"/>
        <v>19</v>
      </c>
      <c r="D26" s="9">
        <f t="shared" si="4"/>
        <v>22</v>
      </c>
      <c r="E26" s="9">
        <f t="shared" si="4"/>
        <v>19</v>
      </c>
      <c r="F26" s="83">
        <f t="shared" si="4"/>
        <v>22</v>
      </c>
      <c r="G26" s="83">
        <f t="shared" si="4"/>
        <v>19</v>
      </c>
      <c r="H26" s="9">
        <f t="shared" si="4"/>
        <v>22</v>
      </c>
      <c r="I26" s="9">
        <f t="shared" si="4"/>
        <v>19</v>
      </c>
      <c r="J26" s="178">
        <v>22</v>
      </c>
      <c r="K26" s="178">
        <v>19</v>
      </c>
      <c r="L26" s="178">
        <f t="shared" ref="L26:Q26" si="5">L17+L18+L21-L23-L24</f>
        <v>22</v>
      </c>
      <c r="M26" s="178">
        <f t="shared" si="5"/>
        <v>19</v>
      </c>
      <c r="N26" s="178">
        <f t="shared" si="5"/>
        <v>22</v>
      </c>
      <c r="O26" s="178">
        <f t="shared" si="5"/>
        <v>19</v>
      </c>
      <c r="P26" s="178">
        <f t="shared" si="5"/>
        <v>22</v>
      </c>
      <c r="Q26" s="178">
        <f t="shared" si="5"/>
        <v>19</v>
      </c>
      <c r="R26" s="178">
        <f t="shared" ref="R26:W26" si="6">R17+R18+R21-R23-R24</f>
        <v>22</v>
      </c>
      <c r="S26" s="178">
        <f t="shared" si="6"/>
        <v>19</v>
      </c>
      <c r="T26" s="178">
        <f t="shared" si="6"/>
        <v>22</v>
      </c>
      <c r="U26" s="178">
        <f t="shared" si="6"/>
        <v>19</v>
      </c>
      <c r="V26" s="178">
        <f t="shared" si="6"/>
        <v>22</v>
      </c>
      <c r="W26" s="178">
        <f t="shared" si="6"/>
        <v>19</v>
      </c>
      <c r="X26" s="164">
        <f>X17+X18+X21-X23-X24</f>
        <v>22</v>
      </c>
      <c r="Y26" s="164">
        <f>Y17+Y18+Y21-Y23-Y24</f>
        <v>19</v>
      </c>
      <c r="Z26" s="178">
        <f t="shared" ref="Z26:AA26" si="7">Z17+Z18+Z21-Z23-Z24</f>
        <v>22</v>
      </c>
      <c r="AA26" s="178">
        <f t="shared" si="7"/>
        <v>19</v>
      </c>
    </row>
    <row r="27" spans="1:2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68"/>
      <c r="Y27" s="168"/>
      <c r="Z27" s="177"/>
      <c r="AA27" s="177"/>
    </row>
    <row r="28" spans="1:2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64">
        <v>192</v>
      </c>
      <c r="Y28" s="164">
        <v>192</v>
      </c>
      <c r="Z28" s="178">
        <v>192</v>
      </c>
      <c r="AA28" s="178">
        <v>192</v>
      </c>
    </row>
    <row r="29" spans="1:2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63">
        <v>4</v>
      </c>
      <c r="Y29" s="163">
        <v>4</v>
      </c>
      <c r="Z29" s="186">
        <v>4</v>
      </c>
      <c r="AA29" s="186">
        <v>4</v>
      </c>
    </row>
    <row r="30" spans="1:27" ht="42">
      <c r="A30" s="8" t="s">
        <v>56</v>
      </c>
      <c r="B30" s="13">
        <f t="shared" ref="B30:I30" si="8">B31+10*LOG10(B28/B13)-B32</f>
        <v>12.771212547196624</v>
      </c>
      <c r="C30" s="13">
        <f t="shared" si="8"/>
        <v>12.771212547196624</v>
      </c>
      <c r="D30" s="13">
        <f t="shared" si="8"/>
        <v>9.8212125471966232</v>
      </c>
      <c r="E30" s="13">
        <f t="shared" si="8"/>
        <v>9.8212125471966232</v>
      </c>
      <c r="F30" s="86">
        <f t="shared" si="8"/>
        <v>12.771212547196624</v>
      </c>
      <c r="G30" s="86">
        <f t="shared" si="8"/>
        <v>12.771212547196624</v>
      </c>
      <c r="H30" s="13">
        <f t="shared" si="8"/>
        <v>12.771212547196624</v>
      </c>
      <c r="I30" s="13">
        <f t="shared" si="8"/>
        <v>12.771212547196624</v>
      </c>
      <c r="J30" s="176">
        <v>12.771212547196624</v>
      </c>
      <c r="K30" s="176">
        <v>12.771212547196624</v>
      </c>
      <c r="L30" s="178">
        <f t="shared" ref="L30:Q30" si="9">L31+10*LOG10(L28/L13)-L32</f>
        <v>12.771212547196624</v>
      </c>
      <c r="M30" s="178">
        <f t="shared" si="9"/>
        <v>12.771212547196624</v>
      </c>
      <c r="N30" s="176">
        <f t="shared" si="9"/>
        <v>12.771212547196624</v>
      </c>
      <c r="O30" s="176">
        <f t="shared" si="9"/>
        <v>12.771212547196624</v>
      </c>
      <c r="P30" s="176">
        <f t="shared" si="9"/>
        <v>12.771212547196624</v>
      </c>
      <c r="Q30" s="176">
        <f t="shared" si="9"/>
        <v>12.771212547196624</v>
      </c>
      <c r="R30" s="176">
        <f t="shared" ref="R30:W30" si="10">R31+10*LOG10(R28/R13)-R32</f>
        <v>12.771212547196624</v>
      </c>
      <c r="S30" s="176">
        <f t="shared" si="10"/>
        <v>12.771212547196624</v>
      </c>
      <c r="T30" s="178">
        <f t="shared" si="10"/>
        <v>8.7712125471966242</v>
      </c>
      <c r="U30" s="178">
        <f t="shared" si="10"/>
        <v>8.7712125471966242</v>
      </c>
      <c r="V30" s="178">
        <f t="shared" si="10"/>
        <v>12.771212547196624</v>
      </c>
      <c r="W30" s="178">
        <f t="shared" si="10"/>
        <v>12.771212547196624</v>
      </c>
      <c r="X30" s="164">
        <f>X31+10*LOG10(X28/X13)-X32</f>
        <v>8.0612125471966252</v>
      </c>
      <c r="Y30" s="164">
        <f>Y31+10*LOG10(Y28/Y13)-Y32</f>
        <v>8.0612125471966252</v>
      </c>
      <c r="Z30" s="178">
        <f t="shared" ref="Z30:AA30" si="11">Z31+10*LOG10(Z28/Z13)-Z32</f>
        <v>12.771212547196624</v>
      </c>
      <c r="AA30" s="178">
        <f t="shared" si="11"/>
        <v>12.771212547196624</v>
      </c>
    </row>
    <row r="31" spans="1:2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64">
        <v>8</v>
      </c>
      <c r="Y31" s="164">
        <v>8</v>
      </c>
      <c r="Z31" s="178">
        <v>8</v>
      </c>
      <c r="AA31" s="178">
        <v>8</v>
      </c>
    </row>
    <row r="32" spans="1:2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63">
        <v>4.71</v>
      </c>
      <c r="Y32" s="163">
        <v>4.71</v>
      </c>
      <c r="Z32" s="186">
        <v>0</v>
      </c>
      <c r="AA32" s="186">
        <v>0</v>
      </c>
    </row>
    <row r="33" spans="1:2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  <c r="V33" s="182">
        <v>7</v>
      </c>
      <c r="W33" s="182">
        <v>7</v>
      </c>
      <c r="X33" s="169">
        <v>12</v>
      </c>
      <c r="Y33" s="169">
        <v>12</v>
      </c>
      <c r="Z33" s="182">
        <v>8</v>
      </c>
      <c r="AA33" s="182">
        <v>8</v>
      </c>
    </row>
    <row r="34" spans="1:2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64">
        <v>3</v>
      </c>
      <c r="Y34" s="164">
        <v>3</v>
      </c>
      <c r="Z34" s="178">
        <v>3</v>
      </c>
      <c r="AA34" s="178">
        <v>3</v>
      </c>
    </row>
    <row r="35" spans="1:2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64">
        <v>5</v>
      </c>
      <c r="Y35" s="164">
        <v>5</v>
      </c>
      <c r="Z35" s="178">
        <v>5</v>
      </c>
      <c r="AA35" s="178">
        <v>5</v>
      </c>
    </row>
    <row r="36" spans="1:2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64">
        <v>-174</v>
      </c>
      <c r="Y36" s="164">
        <v>-174</v>
      </c>
      <c r="Z36" s="178">
        <v>-174</v>
      </c>
      <c r="AA36" s="178">
        <v>-174</v>
      </c>
    </row>
    <row r="37" spans="1:2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64" t="s">
        <v>16</v>
      </c>
      <c r="Y37" s="164" t="s">
        <v>16</v>
      </c>
      <c r="Z37" s="178" t="s">
        <v>16</v>
      </c>
      <c r="AA37" s="178" t="s">
        <v>16</v>
      </c>
    </row>
    <row r="38" spans="1:2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-164.03</v>
      </c>
      <c r="W38" s="186">
        <v>-164.03</v>
      </c>
      <c r="X38" s="163">
        <v>-999</v>
      </c>
      <c r="Y38" s="163">
        <v>-999</v>
      </c>
      <c r="Z38" s="186">
        <v>-999</v>
      </c>
      <c r="AA38" s="186">
        <v>-999</v>
      </c>
    </row>
    <row r="39" spans="1:27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91" t="s">
        <v>16</v>
      </c>
      <c r="Y39" s="191" t="s">
        <v>16</v>
      </c>
      <c r="Z39" s="183" t="s">
        <v>16</v>
      </c>
      <c r="AA39" s="183" t="s">
        <v>16</v>
      </c>
    </row>
    <row r="40" spans="1:27" ht="28">
      <c r="A40" s="8" t="s">
        <v>107</v>
      </c>
      <c r="B40" s="13">
        <f t="shared" ref="B40:I40" si="12">10*LOG10(10^((B35+B36)/10)+10^(B38/10))</f>
        <v>-169.00000000000003</v>
      </c>
      <c r="C40" s="13">
        <f t="shared" si="12"/>
        <v>-169.00000000000003</v>
      </c>
      <c r="D40" s="13">
        <f t="shared" si="12"/>
        <v>-169.00000000000003</v>
      </c>
      <c r="E40" s="13">
        <f t="shared" si="12"/>
        <v>-169.00000000000003</v>
      </c>
      <c r="F40" s="86">
        <f t="shared" si="12"/>
        <v>-169.00000000000003</v>
      </c>
      <c r="G40" s="86">
        <f t="shared" si="12"/>
        <v>-169.00000000000003</v>
      </c>
      <c r="H40" s="13">
        <f t="shared" si="12"/>
        <v>-164.03352307536667</v>
      </c>
      <c r="I40" s="13">
        <f t="shared" si="12"/>
        <v>-164.03352307536667</v>
      </c>
      <c r="J40" s="176">
        <v>-169.00000000000003</v>
      </c>
      <c r="K40" s="176">
        <v>-169.00000000000003</v>
      </c>
      <c r="L40" s="178">
        <f t="shared" ref="L40:Q40" si="13">10*LOG10(10^((L35+L36)/10)+10^(L38/10))</f>
        <v>-164.03352307536667</v>
      </c>
      <c r="M40" s="178">
        <f t="shared" si="13"/>
        <v>-164.03352307536667</v>
      </c>
      <c r="N40" s="176">
        <f t="shared" si="13"/>
        <v>-169.00000000000003</v>
      </c>
      <c r="O40" s="176">
        <f t="shared" si="13"/>
        <v>-169.00000000000003</v>
      </c>
      <c r="P40" s="176">
        <f t="shared" si="13"/>
        <v>-164.03352307536667</v>
      </c>
      <c r="Q40" s="176">
        <f t="shared" si="13"/>
        <v>-164.03352307536667</v>
      </c>
      <c r="R40" s="176">
        <f t="shared" ref="R40:W40" si="14">10*LOG10(10^((R35+R36)/10)+10^(R38/10))</f>
        <v>-169.00000000000003</v>
      </c>
      <c r="S40" s="176">
        <f t="shared" si="14"/>
        <v>-169.00000000000003</v>
      </c>
      <c r="T40" s="178">
        <f t="shared" si="14"/>
        <v>-169.00000000000003</v>
      </c>
      <c r="U40" s="178">
        <f t="shared" si="14"/>
        <v>-169.00000000000003</v>
      </c>
      <c r="V40" s="178">
        <f t="shared" si="14"/>
        <v>-162.82946299127457</v>
      </c>
      <c r="W40" s="178">
        <f t="shared" si="14"/>
        <v>-162.82946299127457</v>
      </c>
      <c r="X40" s="164">
        <f>10*LOG10(10^((X35+X36)/10)+10^(X38/10))</f>
        <v>-169.00000000000003</v>
      </c>
      <c r="Y40" s="164">
        <f>10*LOG10(10^((Y35+Y36)/10)+10^(Y38/10))</f>
        <v>-169.00000000000003</v>
      </c>
      <c r="Z40" s="178">
        <f t="shared" ref="Z40:AA40" si="15">10*LOG10(10^((Z35+Z36)/10)+10^(Z38/10))</f>
        <v>-169.00000000000003</v>
      </c>
      <c r="AA40" s="178">
        <f t="shared" si="15"/>
        <v>-169.00000000000003</v>
      </c>
    </row>
    <row r="41" spans="1:2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64" t="s">
        <v>16</v>
      </c>
      <c r="Y41" s="164" t="s">
        <v>16</v>
      </c>
      <c r="Z41" s="178" t="s">
        <v>16</v>
      </c>
      <c r="AA41" s="178" t="s">
        <v>16</v>
      </c>
    </row>
    <row r="42" spans="1:27">
      <c r="A42" s="42" t="s">
        <v>70</v>
      </c>
      <c r="B42" s="13">
        <f t="shared" ref="B42:I42" si="16">2*360*1000</f>
        <v>720000</v>
      </c>
      <c r="C42" s="13">
        <f t="shared" si="16"/>
        <v>720000</v>
      </c>
      <c r="D42" s="13">
        <f t="shared" si="16"/>
        <v>720000</v>
      </c>
      <c r="E42" s="13">
        <f t="shared" si="16"/>
        <v>720000</v>
      </c>
      <c r="F42" s="86">
        <f t="shared" si="16"/>
        <v>720000</v>
      </c>
      <c r="G42" s="86">
        <f t="shared" si="16"/>
        <v>720000</v>
      </c>
      <c r="H42" s="13">
        <f t="shared" si="16"/>
        <v>720000</v>
      </c>
      <c r="I42" s="13">
        <f t="shared" si="16"/>
        <v>720000</v>
      </c>
      <c r="J42" s="176">
        <v>720000</v>
      </c>
      <c r="K42" s="176">
        <v>720000</v>
      </c>
      <c r="L42" s="178">
        <f t="shared" ref="L42:Q42" si="17">2*360*1000</f>
        <v>720000</v>
      </c>
      <c r="M42" s="178">
        <f t="shared" si="17"/>
        <v>720000</v>
      </c>
      <c r="N42" s="176">
        <f t="shared" si="17"/>
        <v>720000</v>
      </c>
      <c r="O42" s="176">
        <f t="shared" si="17"/>
        <v>720000</v>
      </c>
      <c r="P42" s="176">
        <f t="shared" si="17"/>
        <v>720000</v>
      </c>
      <c r="Q42" s="176">
        <f t="shared" si="17"/>
        <v>720000</v>
      </c>
      <c r="R42" s="176">
        <f t="shared" ref="R42:W42" si="18">2*360*1000</f>
        <v>720000</v>
      </c>
      <c r="S42" s="176">
        <f t="shared" si="18"/>
        <v>720000</v>
      </c>
      <c r="T42" s="178">
        <f t="shared" si="18"/>
        <v>720000</v>
      </c>
      <c r="U42" s="178">
        <f t="shared" si="18"/>
        <v>720000</v>
      </c>
      <c r="V42" s="178">
        <f t="shared" si="18"/>
        <v>720000</v>
      </c>
      <c r="W42" s="178">
        <f t="shared" si="18"/>
        <v>720000</v>
      </c>
      <c r="X42" s="164">
        <f>2*360*1000</f>
        <v>720000</v>
      </c>
      <c r="Y42" s="164">
        <f>2*360*1000</f>
        <v>720000</v>
      </c>
      <c r="Z42" s="178">
        <f t="shared" ref="Z42:AA42" si="19">2*360*1000</f>
        <v>720000</v>
      </c>
      <c r="AA42" s="178">
        <f t="shared" si="19"/>
        <v>720000</v>
      </c>
    </row>
    <row r="43" spans="1:2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91" t="s">
        <v>16</v>
      </c>
      <c r="Y43" s="191" t="s">
        <v>16</v>
      </c>
      <c r="Z43" s="183" t="s">
        <v>16</v>
      </c>
      <c r="AA43" s="183" t="s">
        <v>16</v>
      </c>
    </row>
    <row r="44" spans="1:27">
      <c r="A44" s="8" t="s">
        <v>72</v>
      </c>
      <c r="B44" s="13">
        <f t="shared" ref="B44:I44" si="20">B40+10*LOG10(B42)</f>
        <v>-110.42667503568734</v>
      </c>
      <c r="C44" s="13">
        <f t="shared" si="20"/>
        <v>-110.42667503568734</v>
      </c>
      <c r="D44" s="13">
        <f t="shared" si="20"/>
        <v>-110.42667503568734</v>
      </c>
      <c r="E44" s="13">
        <f t="shared" si="20"/>
        <v>-110.42667503568734</v>
      </c>
      <c r="F44" s="86">
        <f t="shared" si="20"/>
        <v>-110.42667503568734</v>
      </c>
      <c r="G44" s="86">
        <f t="shared" si="20"/>
        <v>-110.42667503568734</v>
      </c>
      <c r="H44" s="13">
        <f t="shared" si="20"/>
        <v>-105.46019811105398</v>
      </c>
      <c r="I44" s="13">
        <f t="shared" si="20"/>
        <v>-105.46019811105398</v>
      </c>
      <c r="J44" s="176">
        <v>-110.42667503568734</v>
      </c>
      <c r="K44" s="176">
        <v>-110.42667503568734</v>
      </c>
      <c r="L44" s="178">
        <f t="shared" ref="L44:Q44" si="21">L40+10*LOG10(L42)</f>
        <v>-105.46019811105398</v>
      </c>
      <c r="M44" s="178">
        <f t="shared" si="21"/>
        <v>-105.46019811105398</v>
      </c>
      <c r="N44" s="176">
        <f t="shared" si="21"/>
        <v>-110.42667503568734</v>
      </c>
      <c r="O44" s="176">
        <f t="shared" si="21"/>
        <v>-110.42667503568734</v>
      </c>
      <c r="P44" s="176">
        <f t="shared" si="21"/>
        <v>-105.46019811105398</v>
      </c>
      <c r="Q44" s="176">
        <f t="shared" si="21"/>
        <v>-105.46019811105398</v>
      </c>
      <c r="R44" s="176">
        <f t="shared" ref="R44:W44" si="22">R40+10*LOG10(R42)</f>
        <v>-110.42667503568734</v>
      </c>
      <c r="S44" s="176">
        <f t="shared" si="22"/>
        <v>-110.42667503568734</v>
      </c>
      <c r="T44" s="178">
        <f t="shared" si="22"/>
        <v>-110.42667503568734</v>
      </c>
      <c r="U44" s="178">
        <f t="shared" si="22"/>
        <v>-110.42667503568734</v>
      </c>
      <c r="V44" s="178">
        <f t="shared" si="22"/>
        <v>-104.25613802696188</v>
      </c>
      <c r="W44" s="178">
        <f t="shared" si="22"/>
        <v>-104.25613802696188</v>
      </c>
      <c r="X44" s="164">
        <f>X40+10*LOG10(X42)</f>
        <v>-110.42667503568734</v>
      </c>
      <c r="Y44" s="164">
        <f>Y40+10*LOG10(Y42)</f>
        <v>-110.42667503568734</v>
      </c>
      <c r="Z44" s="178">
        <f t="shared" ref="Z44:AA44" si="23">Z40+10*LOG10(Z42)</f>
        <v>-110.42667503568734</v>
      </c>
      <c r="AA44" s="178">
        <f t="shared" si="23"/>
        <v>-110.42667503568734</v>
      </c>
    </row>
    <row r="45" spans="1:2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64" t="s">
        <v>16</v>
      </c>
      <c r="Y45" s="164" t="s">
        <v>16</v>
      </c>
      <c r="Z45" s="178" t="s">
        <v>16</v>
      </c>
      <c r="AA45" s="178" t="s">
        <v>16</v>
      </c>
    </row>
    <row r="46" spans="1:27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  <c r="V46" s="182">
        <v>-6</v>
      </c>
      <c r="W46" s="182">
        <v>-6</v>
      </c>
      <c r="X46" s="169">
        <v>-6.6580000000000004</v>
      </c>
      <c r="Y46" s="169">
        <v>-6.6580000000000004</v>
      </c>
      <c r="Z46" s="182">
        <v>-4.67</v>
      </c>
      <c r="AA46" s="182">
        <v>-4.67</v>
      </c>
    </row>
    <row r="47" spans="1:2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64">
        <v>2</v>
      </c>
      <c r="Y47" s="164">
        <v>2</v>
      </c>
      <c r="Z47" s="178">
        <v>2</v>
      </c>
      <c r="AA47" s="178">
        <v>2</v>
      </c>
    </row>
    <row r="48" spans="1:27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64" t="s">
        <v>16</v>
      </c>
      <c r="Y48" s="164" t="s">
        <v>16</v>
      </c>
      <c r="Z48" s="178" t="s">
        <v>16</v>
      </c>
      <c r="AA48" s="178" t="s">
        <v>16</v>
      </c>
    </row>
    <row r="49" spans="1:2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64">
        <v>0</v>
      </c>
      <c r="Y49" s="164">
        <v>0</v>
      </c>
      <c r="Z49" s="178">
        <v>0</v>
      </c>
      <c r="AA49" s="178">
        <v>0</v>
      </c>
    </row>
    <row r="50" spans="1:27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91" t="s">
        <v>16</v>
      </c>
      <c r="Y50" s="191" t="s">
        <v>16</v>
      </c>
      <c r="Z50" s="183" t="s">
        <v>16</v>
      </c>
      <c r="AA50" s="183" t="s">
        <v>16</v>
      </c>
    </row>
    <row r="51" spans="1:27" ht="28">
      <c r="A51" s="8" t="s">
        <v>82</v>
      </c>
      <c r="B51" s="13">
        <f t="shared" ref="B51:I51" si="24">B44+B46+B47-B49</f>
        <v>-110.22667503568734</v>
      </c>
      <c r="C51" s="13">
        <f t="shared" si="24"/>
        <v>-110.22667503568734</v>
      </c>
      <c r="D51" s="13">
        <f t="shared" si="24"/>
        <v>-115.46667503568735</v>
      </c>
      <c r="E51" s="13">
        <f t="shared" si="24"/>
        <v>-115.46667503568735</v>
      </c>
      <c r="F51" s="86">
        <f t="shared" si="24"/>
        <v>-114.91667503568733</v>
      </c>
      <c r="G51" s="86">
        <f t="shared" si="24"/>
        <v>-114.91667503568733</v>
      </c>
      <c r="H51" s="13">
        <f t="shared" si="24"/>
        <v>-105.49019811105399</v>
      </c>
      <c r="I51" s="13">
        <f t="shared" si="24"/>
        <v>-105.75019811105399</v>
      </c>
      <c r="J51" s="176">
        <v>-113.72667503568734</v>
      </c>
      <c r="K51" s="176">
        <v>-113.72667503568734</v>
      </c>
      <c r="L51" s="178">
        <f t="shared" ref="L51:Q51" si="25">L44+L46+L47-L49</f>
        <v>-100.46019811105398</v>
      </c>
      <c r="M51" s="178">
        <f t="shared" si="25"/>
        <v>-100.46019811105398</v>
      </c>
      <c r="N51" s="176">
        <f t="shared" si="25"/>
        <v>-114.86667503568734</v>
      </c>
      <c r="O51" s="176">
        <f t="shared" si="25"/>
        <v>-114.86667503568734</v>
      </c>
      <c r="P51" s="176">
        <f t="shared" si="25"/>
        <v>-109.89019811105399</v>
      </c>
      <c r="Q51" s="176">
        <f t="shared" si="25"/>
        <v>-109.89019811105399</v>
      </c>
      <c r="R51" s="176">
        <f t="shared" ref="R51:W51" si="26">R44+R46+R47-R49</f>
        <v>-113.72667503568734</v>
      </c>
      <c r="S51" s="176">
        <f t="shared" si="26"/>
        <v>-113.72667503568734</v>
      </c>
      <c r="T51" s="178">
        <f t="shared" si="26"/>
        <v>-114.52667503568733</v>
      </c>
      <c r="U51" s="178">
        <f t="shared" si="26"/>
        <v>-114.52667503568733</v>
      </c>
      <c r="V51" s="178">
        <f t="shared" si="26"/>
        <v>-108.25613802696188</v>
      </c>
      <c r="W51" s="178">
        <f t="shared" si="26"/>
        <v>-108.25613802696188</v>
      </c>
      <c r="X51" s="164">
        <f>X44+X46+X47-X49</f>
        <v>-115.08467503568734</v>
      </c>
      <c r="Y51" s="164">
        <f>Y44+Y46+Y47-Y49</f>
        <v>-115.08467503568734</v>
      </c>
      <c r="Z51" s="178">
        <f t="shared" ref="Z51:AA51" si="27">Z44+Z46+Z47-Z49</f>
        <v>-113.09667503568734</v>
      </c>
      <c r="AA51" s="178">
        <f t="shared" si="27"/>
        <v>-113.09667503568734</v>
      </c>
    </row>
    <row r="52" spans="1:27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3" t="s">
        <v>16</v>
      </c>
      <c r="Y52" s="193" t="s">
        <v>16</v>
      </c>
      <c r="Z52" s="195" t="s">
        <v>16</v>
      </c>
      <c r="AA52" s="195" t="s">
        <v>16</v>
      </c>
    </row>
    <row r="53" spans="1:27" ht="28">
      <c r="A53" s="45" t="s">
        <v>85</v>
      </c>
      <c r="B53" s="23">
        <f t="shared" ref="B53:I53" si="28">B26+B30+B33-B34-B51</f>
        <v>149.99788758288395</v>
      </c>
      <c r="C53" s="23">
        <f t="shared" si="28"/>
        <v>146.99788758288395</v>
      </c>
      <c r="D53" s="23">
        <f t="shared" si="28"/>
        <v>156.32788758288396</v>
      </c>
      <c r="E53" s="23">
        <f t="shared" si="28"/>
        <v>153.32788758288396</v>
      </c>
      <c r="F53" s="90">
        <f t="shared" si="28"/>
        <v>154.68788758288395</v>
      </c>
      <c r="G53" s="90">
        <f t="shared" si="28"/>
        <v>151.68788758288395</v>
      </c>
      <c r="H53" s="23">
        <f t="shared" si="28"/>
        <v>152.31291044144967</v>
      </c>
      <c r="I53" s="23">
        <f t="shared" si="28"/>
        <v>149.57291044144966</v>
      </c>
      <c r="J53" s="179">
        <v>153.49788758288395</v>
      </c>
      <c r="K53" s="179">
        <v>150.49788758288395</v>
      </c>
      <c r="L53" s="179">
        <f t="shared" ref="L53:Q53" si="29">L26+L30+L33-L34-L51</f>
        <v>147.28141065825059</v>
      </c>
      <c r="M53" s="179">
        <f t="shared" si="29"/>
        <v>144.28141065825059</v>
      </c>
      <c r="N53" s="179">
        <f t="shared" si="29"/>
        <v>154.63788758288396</v>
      </c>
      <c r="O53" s="179">
        <f t="shared" si="29"/>
        <v>151.63788758288396</v>
      </c>
      <c r="P53" s="179">
        <f t="shared" si="29"/>
        <v>149.66141065825062</v>
      </c>
      <c r="Q53" s="179">
        <f t="shared" si="29"/>
        <v>146.66141065825062</v>
      </c>
      <c r="R53" s="179">
        <f t="shared" ref="R53:W53" si="30">R26+R30+R33-R34-R51</f>
        <v>153.49788758288395</v>
      </c>
      <c r="S53" s="179">
        <f t="shared" si="30"/>
        <v>150.49788758288395</v>
      </c>
      <c r="T53" s="179">
        <f t="shared" si="30"/>
        <v>151.29788758288396</v>
      </c>
      <c r="U53" s="179">
        <f t="shared" si="30"/>
        <v>148.29788758288396</v>
      </c>
      <c r="V53" s="179">
        <f t="shared" si="30"/>
        <v>147.0273505741585</v>
      </c>
      <c r="W53" s="179">
        <f t="shared" si="30"/>
        <v>144.0273505741585</v>
      </c>
      <c r="X53" s="171">
        <f>X26+X30+X33-X34-X51</f>
        <v>154.14588758288397</v>
      </c>
      <c r="Y53" s="171">
        <f>Y26+Y30+Y33-Y34-Y51</f>
        <v>151.14588758288397</v>
      </c>
      <c r="Z53" s="179">
        <f t="shared" ref="Z53:AA53" si="31">Z26+Z30+Z33-Z34-Z51</f>
        <v>152.86788758288395</v>
      </c>
      <c r="AA53" s="179">
        <f t="shared" si="31"/>
        <v>149.86788758288395</v>
      </c>
    </row>
    <row r="54" spans="1:2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68"/>
      <c r="Y54" s="168"/>
      <c r="Z54" s="177"/>
      <c r="AA54" s="177"/>
    </row>
    <row r="55" spans="1:2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63">
        <v>7</v>
      </c>
      <c r="Y55" s="163">
        <v>7</v>
      </c>
      <c r="Z55" s="186">
        <v>7</v>
      </c>
      <c r="AA55" s="186">
        <v>7</v>
      </c>
    </row>
    <row r="56" spans="1:27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91" t="s">
        <v>16</v>
      </c>
      <c r="Y56" s="191" t="s">
        <v>16</v>
      </c>
      <c r="Z56" s="183" t="s">
        <v>16</v>
      </c>
      <c r="AA56" s="183" t="s">
        <v>16</v>
      </c>
    </row>
    <row r="57" spans="1:27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63">
        <v>4.4800000000000004</v>
      </c>
      <c r="Y57" s="163">
        <v>4.4800000000000004</v>
      </c>
      <c r="Z57" s="186">
        <v>4.4800000000000004</v>
      </c>
      <c r="AA57" s="186">
        <v>4.4800000000000004</v>
      </c>
    </row>
    <row r="58" spans="1:2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63">
        <v>0</v>
      </c>
      <c r="Y58" s="163">
        <v>0</v>
      </c>
      <c r="Z58" s="186">
        <v>0</v>
      </c>
      <c r="AA58" s="186">
        <v>0</v>
      </c>
    </row>
    <row r="59" spans="1:2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63">
        <v>26.25</v>
      </c>
      <c r="Y59" s="163">
        <v>26.25</v>
      </c>
      <c r="Z59" s="186">
        <v>26.25</v>
      </c>
      <c r="AA59" s="186">
        <v>26.25</v>
      </c>
    </row>
    <row r="60" spans="1:2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63">
        <v>0</v>
      </c>
      <c r="Y60" s="163">
        <v>0</v>
      </c>
      <c r="Z60" s="186">
        <v>0</v>
      </c>
      <c r="AA60" s="186">
        <v>0</v>
      </c>
    </row>
    <row r="61" spans="1:27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3" t="s">
        <v>16</v>
      </c>
      <c r="Y61" s="193" t="s">
        <v>16</v>
      </c>
      <c r="Z61" s="195" t="s">
        <v>16</v>
      </c>
      <c r="AA61" s="195" t="s">
        <v>16</v>
      </c>
    </row>
    <row r="62" spans="1:27" ht="28">
      <c r="A62" s="45" t="s">
        <v>109</v>
      </c>
      <c r="B62" s="23">
        <f t="shared" ref="B62:I62" si="32">B53-B57+B58-B59+B60</f>
        <v>119.26788758288396</v>
      </c>
      <c r="C62" s="23">
        <f t="shared" si="32"/>
        <v>116.26788758288396</v>
      </c>
      <c r="D62" s="23">
        <f t="shared" si="32"/>
        <v>125.59788758288397</v>
      </c>
      <c r="E62" s="23">
        <f t="shared" si="32"/>
        <v>122.59788758288397</v>
      </c>
      <c r="F62" s="90">
        <f t="shared" si="32"/>
        <v>123.95788758288396</v>
      </c>
      <c r="G62" s="90">
        <f t="shared" si="32"/>
        <v>120.95788758288396</v>
      </c>
      <c r="H62" s="23">
        <f t="shared" si="32"/>
        <v>121.58291044144968</v>
      </c>
      <c r="I62" s="23">
        <f t="shared" si="32"/>
        <v>118.84291044144967</v>
      </c>
      <c r="J62" s="179">
        <v>122.76788758288396</v>
      </c>
      <c r="K62" s="179">
        <v>119.76788758288396</v>
      </c>
      <c r="L62" s="179">
        <f t="shared" ref="L62:Q62" si="33">L53-L57+L58-L59+L60</f>
        <v>116.5514106582506</v>
      </c>
      <c r="M62" s="179">
        <f t="shared" si="33"/>
        <v>113.5514106582506</v>
      </c>
      <c r="N62" s="179">
        <f t="shared" si="33"/>
        <v>123.90788758288397</v>
      </c>
      <c r="O62" s="179">
        <f t="shared" si="33"/>
        <v>120.90788758288397</v>
      </c>
      <c r="P62" s="179">
        <f t="shared" si="33"/>
        <v>118.93141065825063</v>
      </c>
      <c r="Q62" s="179">
        <f t="shared" si="33"/>
        <v>115.93141065825063</v>
      </c>
      <c r="R62" s="179">
        <f t="shared" ref="R62:W62" si="34">R53-R57+R58-R59+R60</f>
        <v>122.76788758288396</v>
      </c>
      <c r="S62" s="179">
        <f t="shared" si="34"/>
        <v>119.76788758288396</v>
      </c>
      <c r="T62" s="179">
        <f t="shared" si="34"/>
        <v>120.56788758288397</v>
      </c>
      <c r="U62" s="179">
        <f t="shared" si="34"/>
        <v>117.56788758288397</v>
      </c>
      <c r="V62" s="179">
        <f t="shared" si="34"/>
        <v>116.29735057415851</v>
      </c>
      <c r="W62" s="179">
        <f t="shared" si="34"/>
        <v>113.29735057415851</v>
      </c>
      <c r="X62" s="171">
        <f>X53-X57+X58-X59+X60</f>
        <v>123.41588758288398</v>
      </c>
      <c r="Y62" s="171">
        <f>Y53-Y57+Y58-Y59+Y60</f>
        <v>120.41588758288398</v>
      </c>
      <c r="Z62" s="179">
        <f t="shared" ref="Z62:AA62" si="35">Z53-Z57+Z58-Z59+Z60</f>
        <v>122.13788758288396</v>
      </c>
      <c r="AA62" s="179">
        <f t="shared" si="35"/>
        <v>119.13788758288396</v>
      </c>
    </row>
    <row r="63" spans="1:27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200"/>
      <c r="Y63" s="200"/>
      <c r="Z63" s="180"/>
      <c r="AA63" s="180"/>
    </row>
    <row r="64" spans="1:2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3" t="s">
        <v>16</v>
      </c>
      <c r="Y64" s="193" t="s">
        <v>16</v>
      </c>
      <c r="Z64" s="195" t="s">
        <v>16</v>
      </c>
      <c r="AA64" s="195" t="s">
        <v>16</v>
      </c>
    </row>
    <row r="65" spans="1:27">
      <c r="A65" s="45" t="s">
        <v>98</v>
      </c>
      <c r="B65" s="23">
        <f t="shared" ref="B65:I65" si="36">B17-B23-B51+B21+B33</f>
        <v>141.22667503568732</v>
      </c>
      <c r="C65" s="23">
        <f t="shared" si="36"/>
        <v>141.22667503568732</v>
      </c>
      <c r="D65" s="23">
        <f t="shared" si="36"/>
        <v>150.50667503568732</v>
      </c>
      <c r="E65" s="23">
        <f t="shared" si="36"/>
        <v>150.50667503568732</v>
      </c>
      <c r="F65" s="90">
        <f t="shared" si="36"/>
        <v>145.91667503568732</v>
      </c>
      <c r="G65" s="90">
        <f t="shared" si="36"/>
        <v>145.91667503568732</v>
      </c>
      <c r="H65" s="23">
        <f t="shared" si="36"/>
        <v>143.54169789425305</v>
      </c>
      <c r="I65" s="23">
        <f t="shared" si="36"/>
        <v>143.80169789425304</v>
      </c>
      <c r="J65" s="179">
        <v>144.72667503568732</v>
      </c>
      <c r="K65" s="179">
        <v>144.72667503568732</v>
      </c>
      <c r="L65" s="179">
        <f t="shared" ref="L65:Q65" si="37">L17-L23-L51+L21+L33</f>
        <v>138.510198111054</v>
      </c>
      <c r="M65" s="179">
        <f t="shared" si="37"/>
        <v>138.510198111054</v>
      </c>
      <c r="N65" s="179">
        <f t="shared" si="37"/>
        <v>145.86667503568734</v>
      </c>
      <c r="O65" s="179">
        <f t="shared" si="37"/>
        <v>145.86667503568734</v>
      </c>
      <c r="P65" s="179">
        <f t="shared" si="37"/>
        <v>140.89019811105399</v>
      </c>
      <c r="Q65" s="179">
        <f t="shared" si="37"/>
        <v>140.89019811105399</v>
      </c>
      <c r="R65" s="179">
        <f t="shared" ref="R65:W65" si="38">R17-R23-R51+R21+R33</f>
        <v>144.72667503568732</v>
      </c>
      <c r="S65" s="179">
        <f t="shared" si="38"/>
        <v>144.72667503568732</v>
      </c>
      <c r="T65" s="179">
        <f t="shared" si="38"/>
        <v>146.52667503568733</v>
      </c>
      <c r="U65" s="179">
        <f t="shared" si="38"/>
        <v>146.52667503568733</v>
      </c>
      <c r="V65" s="179">
        <f t="shared" si="38"/>
        <v>138.25613802696188</v>
      </c>
      <c r="W65" s="179">
        <f t="shared" si="38"/>
        <v>138.25613802696188</v>
      </c>
      <c r="X65" s="171">
        <f>X17-X23-X51+X21+X33</f>
        <v>150.08467503568733</v>
      </c>
      <c r="Y65" s="171">
        <f>Y17-Y23-Y51+Y21+Y33</f>
        <v>150.08467503568733</v>
      </c>
      <c r="Z65" s="179">
        <f t="shared" ref="Z65:AA65" si="39">Z17-Z23-Z51+Z21+Z33</f>
        <v>144.09667503568733</v>
      </c>
      <c r="AA65" s="179">
        <f t="shared" si="39"/>
        <v>144.09667503568733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7" width="15.6640625" style="3" customWidth="1"/>
    <col min="8" max="8" width="15.6640625" style="2" customWidth="1"/>
    <col min="9" max="10" width="15.6640625" style="3" customWidth="1"/>
    <col min="11" max="11" width="15.6640625" style="194" customWidth="1"/>
    <col min="12" max="12" width="15.6640625" style="3" customWidth="1"/>
    <col min="13" max="16384" width="9" style="3"/>
  </cols>
  <sheetData>
    <row r="1" spans="1:12" ht="14.25" customHeight="1">
      <c r="A1" s="4"/>
      <c r="B1" s="205" t="s">
        <v>120</v>
      </c>
      <c r="C1" s="205"/>
      <c r="D1" s="205"/>
      <c r="E1" s="205" t="s">
        <v>128</v>
      </c>
      <c r="F1" s="205"/>
      <c r="G1" s="205"/>
      <c r="H1" s="205" t="s">
        <v>129</v>
      </c>
      <c r="I1" s="205"/>
      <c r="J1" s="205"/>
      <c r="K1" s="205" t="s">
        <v>132</v>
      </c>
      <c r="L1" s="205"/>
    </row>
    <row r="2" spans="1:12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  <c r="K2" s="174" t="s">
        <v>102</v>
      </c>
      <c r="L2" s="198" t="s">
        <v>103</v>
      </c>
    </row>
    <row r="3" spans="1:12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</row>
    <row r="4" spans="1:12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  <c r="K4" s="164">
        <v>100</v>
      </c>
      <c r="L4" s="164">
        <v>100</v>
      </c>
    </row>
    <row r="5" spans="1:12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  <c r="K5" s="191" t="s">
        <v>16</v>
      </c>
      <c r="L5" s="191" t="s">
        <v>16</v>
      </c>
    </row>
    <row r="6" spans="1:12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  <c r="K6" s="164" t="s">
        <v>16</v>
      </c>
      <c r="L6" s="164" t="s">
        <v>16</v>
      </c>
    </row>
    <row r="7" spans="1:12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  <c r="K7" s="191" t="s">
        <v>16</v>
      </c>
      <c r="L7" s="191" t="s">
        <v>16</v>
      </c>
    </row>
    <row r="8" spans="1:12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  <c r="K8" s="192">
        <v>0.1</v>
      </c>
      <c r="L8" s="192">
        <v>0.1</v>
      </c>
    </row>
    <row r="9" spans="1:12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  <c r="K9" s="164" t="s">
        <v>22</v>
      </c>
      <c r="L9" s="164" t="s">
        <v>22</v>
      </c>
    </row>
    <row r="10" spans="1:12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  <c r="K10" s="164">
        <v>3</v>
      </c>
      <c r="L10" s="164">
        <v>3</v>
      </c>
    </row>
    <row r="11" spans="1:12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  <c r="K11" s="168"/>
      <c r="L11" s="168"/>
    </row>
    <row r="12" spans="1:12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  <c r="K12" s="164">
        <v>192</v>
      </c>
      <c r="L12" s="164">
        <v>192</v>
      </c>
    </row>
    <row r="13" spans="1:12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  <c r="K13" s="164">
        <v>64</v>
      </c>
      <c r="L13" s="164">
        <v>64</v>
      </c>
    </row>
    <row r="14" spans="1:12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  <c r="K14" s="163">
        <v>4</v>
      </c>
      <c r="L14" s="163">
        <v>4</v>
      </c>
    </row>
    <row r="15" spans="1:12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  <c r="K15" s="163">
        <v>24</v>
      </c>
      <c r="L15" s="163">
        <v>24</v>
      </c>
    </row>
    <row r="16" spans="1:12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  <c r="K16" s="164">
        <f t="shared" ref="K16:L16" si="1">K15+10*LOG10(K4)</f>
        <v>44</v>
      </c>
      <c r="L16" s="164">
        <f t="shared" si="1"/>
        <v>44</v>
      </c>
    </row>
    <row r="17" spans="1:12" ht="28">
      <c r="A17" s="8" t="s">
        <v>35</v>
      </c>
      <c r="B17" s="13">
        <f t="shared" ref="B17:G17" si="2">B15+10*LOG10(B42/1000000)</f>
        <v>41.57332496431269</v>
      </c>
      <c r="C17" s="13">
        <f t="shared" si="2"/>
        <v>41.57332496431269</v>
      </c>
      <c r="D17" s="13">
        <f t="shared" si="2"/>
        <v>41.57332496431269</v>
      </c>
      <c r="E17" s="166">
        <f t="shared" si="2"/>
        <v>32.57332496431269</v>
      </c>
      <c r="F17" s="166">
        <f t="shared" si="2"/>
        <v>32.57332496431269</v>
      </c>
      <c r="G17" s="166">
        <f t="shared" si="2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  <c r="K17" s="164">
        <f t="shared" ref="K17:L17" si="3">K15+10*LOG10(K42/1000000)</f>
        <v>32.57332496431269</v>
      </c>
      <c r="L17" s="164">
        <f t="shared" si="3"/>
        <v>32.57332496431269</v>
      </c>
    </row>
    <row r="18" spans="1:12" ht="42">
      <c r="A18" s="15" t="s">
        <v>37</v>
      </c>
      <c r="B18" s="13">
        <f t="shared" ref="B18:G18" si="4">B19+10*LOG10(B12/B13)-B20</f>
        <v>10.121212547196624</v>
      </c>
      <c r="C18" s="13">
        <f t="shared" si="4"/>
        <v>10.121212547196624</v>
      </c>
      <c r="D18" s="13">
        <f t="shared" si="4"/>
        <v>10.121212547196624</v>
      </c>
      <c r="E18" s="166">
        <f t="shared" si="4"/>
        <v>12.771212547196624</v>
      </c>
      <c r="F18" s="166">
        <f t="shared" si="4"/>
        <v>12.771212547196624</v>
      </c>
      <c r="G18" s="166">
        <f t="shared" si="4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  <c r="K18" s="164">
        <f t="shared" ref="K18:L18" si="5">K19+10*LOG10(K12/K13)-K20</f>
        <v>8.0612125471966252</v>
      </c>
      <c r="L18" s="164">
        <f t="shared" si="5"/>
        <v>8.0612125471966252</v>
      </c>
    </row>
    <row r="19" spans="1:12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  <c r="K19" s="164">
        <v>8</v>
      </c>
      <c r="L19" s="164">
        <v>8</v>
      </c>
    </row>
    <row r="20" spans="1:12" ht="42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  <c r="K20" s="163">
        <v>4.71</v>
      </c>
      <c r="L20" s="163">
        <v>4.71</v>
      </c>
    </row>
    <row r="21" spans="1:12" ht="61.5" customHeight="1">
      <c r="A21" s="33" t="s">
        <v>43</v>
      </c>
      <c r="B21" s="17">
        <f>10*LOG10(B13/B14)-8</f>
        <v>7.0514997831990609</v>
      </c>
      <c r="C21" s="17">
        <f t="shared" ref="C21:D21" si="6">10*LOG10(C13/C14)-8</f>
        <v>7.0514997831990609</v>
      </c>
      <c r="D21" s="17">
        <f t="shared" si="6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  <c r="K21" s="169">
        <v>12</v>
      </c>
      <c r="L21" s="169">
        <v>12</v>
      </c>
    </row>
    <row r="22" spans="1:12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  <c r="K22" s="164">
        <v>0</v>
      </c>
      <c r="L22" s="164">
        <v>0</v>
      </c>
    </row>
    <row r="23" spans="1:12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  <c r="K23" s="164">
        <v>0</v>
      </c>
      <c r="L23" s="164">
        <v>0</v>
      </c>
    </row>
    <row r="24" spans="1:12" ht="28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  <c r="K24" s="164">
        <v>3</v>
      </c>
      <c r="L24" s="164">
        <v>3</v>
      </c>
    </row>
    <row r="25" spans="1:12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  <c r="K25" s="191" t="s">
        <v>16</v>
      </c>
      <c r="L25" s="191" t="s">
        <v>16</v>
      </c>
    </row>
    <row r="26" spans="1:12">
      <c r="A26" s="8" t="s">
        <v>51</v>
      </c>
      <c r="B26" s="13">
        <f t="shared" ref="B26:G26" si="7">B17+B18+B21-B23-B24</f>
        <v>55.746037294708373</v>
      </c>
      <c r="C26" s="13">
        <f t="shared" si="7"/>
        <v>55.746037294708373</v>
      </c>
      <c r="D26" s="13">
        <f t="shared" si="7"/>
        <v>55.746037294708373</v>
      </c>
      <c r="E26" s="166">
        <f t="shared" si="7"/>
        <v>50.344537511509316</v>
      </c>
      <c r="F26" s="166">
        <f t="shared" si="7"/>
        <v>50.344537511509316</v>
      </c>
      <c r="G26" s="166">
        <f t="shared" si="7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  <c r="K26" s="164">
        <f t="shared" ref="K26:L26" si="8">K17+K18+K21-K23-K24</f>
        <v>49.634537511509315</v>
      </c>
      <c r="L26" s="164">
        <f t="shared" si="8"/>
        <v>49.634537511509315</v>
      </c>
    </row>
    <row r="27" spans="1:12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  <c r="K27" s="168"/>
      <c r="L27" s="168"/>
    </row>
    <row r="28" spans="1:12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  <c r="K28" s="164">
        <v>4</v>
      </c>
      <c r="L28" s="164">
        <v>2</v>
      </c>
    </row>
    <row r="29" spans="1:12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  <c r="K29" s="164">
        <v>4</v>
      </c>
      <c r="L29" s="164">
        <v>2</v>
      </c>
    </row>
    <row r="30" spans="1:12" ht="42">
      <c r="A30" s="8" t="s">
        <v>56</v>
      </c>
      <c r="B30" s="13">
        <f t="shared" ref="B30:G30" si="9">B31+10*LOG10(B28/B29)-B32</f>
        <v>0</v>
      </c>
      <c r="C30" s="13">
        <f t="shared" si="9"/>
        <v>-3</v>
      </c>
      <c r="D30" s="13">
        <f t="shared" si="9"/>
        <v>-3</v>
      </c>
      <c r="E30" s="166">
        <f t="shared" si="9"/>
        <v>0</v>
      </c>
      <c r="F30" s="166">
        <f t="shared" si="9"/>
        <v>-3</v>
      </c>
      <c r="G30" s="166">
        <f t="shared" si="9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  <c r="K30" s="164">
        <f t="shared" ref="K30:L30" si="10">K31+10*LOG10(K28/K29)-K32</f>
        <v>0</v>
      </c>
      <c r="L30" s="164">
        <f t="shared" si="10"/>
        <v>-3</v>
      </c>
    </row>
    <row r="31" spans="1:12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  <c r="K31" s="164">
        <v>0</v>
      </c>
      <c r="L31" s="164">
        <v>-3</v>
      </c>
    </row>
    <row r="32" spans="1:12" ht="42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  <c r="K32" s="164">
        <v>0</v>
      </c>
      <c r="L32" s="164">
        <v>0</v>
      </c>
    </row>
    <row r="33" spans="1:12" ht="28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  <c r="K33" s="164">
        <v>0</v>
      </c>
      <c r="L33" s="164">
        <v>0</v>
      </c>
    </row>
    <row r="34" spans="1:12" ht="28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  <c r="K34" s="164">
        <v>1</v>
      </c>
      <c r="L34" s="164">
        <v>1</v>
      </c>
    </row>
    <row r="35" spans="1:12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  <c r="K35" s="164">
        <v>7</v>
      </c>
      <c r="L35" s="164">
        <v>7</v>
      </c>
    </row>
    <row r="36" spans="1:12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  <c r="K36" s="164">
        <v>-174</v>
      </c>
      <c r="L36" s="164">
        <v>-174</v>
      </c>
    </row>
    <row r="37" spans="1:12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  <c r="K37" s="164" t="s">
        <v>16</v>
      </c>
      <c r="L37" s="164" t="s">
        <v>16</v>
      </c>
    </row>
    <row r="38" spans="1:12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  <c r="K38" s="163">
        <v>-999</v>
      </c>
      <c r="L38" s="163">
        <v>-999</v>
      </c>
    </row>
    <row r="39" spans="1:12" ht="28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  <c r="K39" s="191" t="s">
        <v>16</v>
      </c>
      <c r="L39" s="191" t="s">
        <v>16</v>
      </c>
    </row>
    <row r="40" spans="1:12" ht="28">
      <c r="A40" s="8" t="s">
        <v>107</v>
      </c>
      <c r="B40" s="13">
        <f t="shared" ref="B40:G40" si="11">10*LOG10(10^((B35+B36)/10)+10^(B38/10))</f>
        <v>-164.98918835931039</v>
      </c>
      <c r="C40" s="13">
        <f t="shared" si="11"/>
        <v>-164.98918835931039</v>
      </c>
      <c r="D40" s="13">
        <f t="shared" si="11"/>
        <v>-164.98918835931039</v>
      </c>
      <c r="E40" s="166">
        <f t="shared" si="11"/>
        <v>-167.00000000000003</v>
      </c>
      <c r="F40" s="166">
        <f t="shared" si="11"/>
        <v>-167.00000000000003</v>
      </c>
      <c r="G40" s="166">
        <f t="shared" si="11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  <c r="K40" s="164">
        <f t="shared" ref="K40:L40" si="12">10*LOG10(10^((K35+K36)/10)+10^(K38/10))</f>
        <v>-167.00000000000003</v>
      </c>
      <c r="L40" s="164">
        <f t="shared" si="12"/>
        <v>-167.00000000000003</v>
      </c>
    </row>
    <row r="41" spans="1:12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  <c r="K41" s="164" t="s">
        <v>16</v>
      </c>
      <c r="L41" s="164" t="s">
        <v>16</v>
      </c>
    </row>
    <row r="42" spans="1:12">
      <c r="A42" s="35" t="s">
        <v>70</v>
      </c>
      <c r="B42" s="17">
        <f>20*360*1000</f>
        <v>7200000</v>
      </c>
      <c r="C42" s="17">
        <f t="shared" ref="C42:D42" si="13">20*360*1000</f>
        <v>7200000</v>
      </c>
      <c r="D42" s="17">
        <f t="shared" si="13"/>
        <v>7200000</v>
      </c>
      <c r="E42" s="169">
        <f>20*360*1000</f>
        <v>7200000</v>
      </c>
      <c r="F42" s="169">
        <f t="shared" ref="F42:G42" si="14">20*360*1000</f>
        <v>7200000</v>
      </c>
      <c r="G42" s="169">
        <f t="shared" si="14"/>
        <v>7200000</v>
      </c>
      <c r="H42" s="182">
        <f>20*360*1000</f>
        <v>7200000</v>
      </c>
      <c r="I42" s="182">
        <f t="shared" ref="I42:J42" si="15">20*360*1000</f>
        <v>7200000</v>
      </c>
      <c r="J42" s="182">
        <f t="shared" si="15"/>
        <v>7200000</v>
      </c>
      <c r="K42" s="169">
        <f>20*360*1000</f>
        <v>7200000</v>
      </c>
      <c r="L42" s="169">
        <f t="shared" ref="L42" si="16">20*360*1000</f>
        <v>7200000</v>
      </c>
    </row>
    <row r="43" spans="1:12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  <c r="K43" s="164" t="s">
        <v>16</v>
      </c>
      <c r="L43" s="164" t="s">
        <v>16</v>
      </c>
    </row>
    <row r="44" spans="1:12">
      <c r="A44" s="8" t="s">
        <v>72</v>
      </c>
      <c r="B44" s="13">
        <f t="shared" ref="B44:G44" si="17">B40+10*LOG10(B42)</f>
        <v>-96.415863394997714</v>
      </c>
      <c r="C44" s="13">
        <f t="shared" si="17"/>
        <v>-96.415863394997714</v>
      </c>
      <c r="D44" s="13">
        <f t="shared" si="17"/>
        <v>-96.415863394997714</v>
      </c>
      <c r="E44" s="166">
        <f t="shared" si="17"/>
        <v>-98.426675035687353</v>
      </c>
      <c r="F44" s="166">
        <f t="shared" si="17"/>
        <v>-98.426675035687353</v>
      </c>
      <c r="G44" s="166">
        <f t="shared" si="17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  <c r="K44" s="164">
        <f t="shared" ref="K44:L44" si="18">K40+10*LOG10(K42)</f>
        <v>-98.426675035687353</v>
      </c>
      <c r="L44" s="164">
        <f t="shared" si="18"/>
        <v>-98.426675035687353</v>
      </c>
    </row>
    <row r="45" spans="1:12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  <c r="K45" s="164" t="s">
        <v>16</v>
      </c>
      <c r="L45" s="164" t="s">
        <v>16</v>
      </c>
    </row>
    <row r="46" spans="1:12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  <c r="K46" s="169">
        <v>-11.236000000000001</v>
      </c>
      <c r="L46" s="169">
        <v>-11.236000000000001</v>
      </c>
    </row>
    <row r="47" spans="1:12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  <c r="K47" s="164">
        <v>2</v>
      </c>
      <c r="L47" s="164">
        <v>2</v>
      </c>
    </row>
    <row r="48" spans="1:12" ht="28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  <c r="K48" s="164" t="s">
        <v>16</v>
      </c>
      <c r="L48" s="164" t="s">
        <v>16</v>
      </c>
    </row>
    <row r="49" spans="1:12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  <c r="K49" s="164">
        <v>0</v>
      </c>
      <c r="L49" s="164">
        <v>0</v>
      </c>
    </row>
    <row r="50" spans="1:12" ht="28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  <c r="K50" s="191" t="s">
        <v>16</v>
      </c>
      <c r="L50" s="191" t="s">
        <v>16</v>
      </c>
    </row>
    <row r="51" spans="1:12" ht="28">
      <c r="A51" s="8" t="s">
        <v>82</v>
      </c>
      <c r="B51" s="13">
        <f t="shared" ref="B51:G51" si="19">B44+B46+B47-B49</f>
        <v>-106.03586339499772</v>
      </c>
      <c r="C51" s="13">
        <f t="shared" si="19"/>
        <v>-103.57586339499771</v>
      </c>
      <c r="D51" s="13">
        <f t="shared" si="19"/>
        <v>-100.88586339499771</v>
      </c>
      <c r="E51" s="166">
        <f t="shared" si="19"/>
        <v>-108.42667503568735</v>
      </c>
      <c r="F51" s="166">
        <f t="shared" si="19"/>
        <v>-105.42667503568735</v>
      </c>
      <c r="G51" s="166">
        <f t="shared" si="19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  <c r="K51" s="164">
        <f t="shared" ref="K51:L51" si="20">K44+K46+K47-K49</f>
        <v>-107.66267503568736</v>
      </c>
      <c r="L51" s="164">
        <f t="shared" si="20"/>
        <v>-107.66267503568736</v>
      </c>
    </row>
    <row r="52" spans="1:12" ht="28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  <c r="K52" s="193" t="s">
        <v>16</v>
      </c>
      <c r="L52" s="193" t="s">
        <v>16</v>
      </c>
    </row>
    <row r="53" spans="1:12" ht="28">
      <c r="A53" s="22" t="s">
        <v>85</v>
      </c>
      <c r="B53" s="23">
        <f>B26+B30+B33-B34-B51</f>
        <v>160.78190068970611</v>
      </c>
      <c r="C53" s="23">
        <f t="shared" ref="C53:D53" si="21">C26+C30+C33-C34-C51</f>
        <v>155.32190068970607</v>
      </c>
      <c r="D53" s="23">
        <f t="shared" si="21"/>
        <v>152.63190068970607</v>
      </c>
      <c r="E53" s="171">
        <f>E26+E30+E33-E34-E51</f>
        <v>157.77121254719668</v>
      </c>
      <c r="F53" s="171">
        <f t="shared" ref="F53:G53" si="22">F26+F30+F33-F34-F51</f>
        <v>151.77121254719668</v>
      </c>
      <c r="G53" s="171">
        <f t="shared" si="22"/>
        <v>148.77121254719668</v>
      </c>
      <c r="H53" s="179">
        <f>H26+H30+H33-H34-H51</f>
        <v>150.87121254719665</v>
      </c>
      <c r="I53" s="179">
        <f t="shared" ref="I53:J53" si="23">I26+I30+I33-I34-I51</f>
        <v>144.97121254719667</v>
      </c>
      <c r="J53" s="179">
        <f t="shared" si="23"/>
        <v>141.37121254719665</v>
      </c>
      <c r="K53" s="171">
        <f>K26+K30+K33-K34-K51</f>
        <v>156.29721254719666</v>
      </c>
      <c r="L53" s="171">
        <f t="shared" ref="L53" si="24">L26+L30+L33-L34-L51</f>
        <v>153.29721254719666</v>
      </c>
    </row>
    <row r="54" spans="1:12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  <c r="K54" s="168"/>
      <c r="L54" s="168"/>
    </row>
    <row r="55" spans="1:12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  <c r="K55" s="163">
        <v>7</v>
      </c>
      <c r="L55" s="163">
        <v>7</v>
      </c>
    </row>
    <row r="56" spans="1:12" ht="28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  <c r="K56" s="191" t="s">
        <v>16</v>
      </c>
      <c r="L56" s="191" t="s">
        <v>16</v>
      </c>
    </row>
    <row r="57" spans="1:12" ht="28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  <c r="K57" s="163">
        <v>4.4800000000000004</v>
      </c>
      <c r="L57" s="163">
        <v>4.4800000000000004</v>
      </c>
    </row>
    <row r="58" spans="1:12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  <c r="K58" s="163">
        <v>0</v>
      </c>
      <c r="L58" s="163">
        <v>0</v>
      </c>
    </row>
    <row r="59" spans="1:12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  <c r="K59" s="163">
        <v>26.25</v>
      </c>
      <c r="L59" s="163">
        <v>26.25</v>
      </c>
    </row>
    <row r="60" spans="1:12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  <c r="K60" s="163">
        <v>0</v>
      </c>
      <c r="L60" s="163">
        <v>0</v>
      </c>
    </row>
    <row r="61" spans="1:12" ht="28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  <c r="K61" s="193" t="s">
        <v>16</v>
      </c>
      <c r="L61" s="193" t="s">
        <v>16</v>
      </c>
    </row>
    <row r="62" spans="1:12" ht="28">
      <c r="A62" s="22" t="s">
        <v>109</v>
      </c>
      <c r="B62" s="23">
        <f>B53-B57+B58-B59+B60</f>
        <v>126.9719006897061</v>
      </c>
      <c r="C62" s="23">
        <f t="shared" ref="C62:D62" si="25">C53-C57+C58-C59+C60</f>
        <v>121.51190068970607</v>
      </c>
      <c r="D62" s="23">
        <f t="shared" si="25"/>
        <v>118.82190068970607</v>
      </c>
      <c r="E62" s="171">
        <f>E53-E57+E58-E59+E60</f>
        <v>127.04121254719669</v>
      </c>
      <c r="F62" s="171">
        <f t="shared" ref="F62:G62" si="26">F53-F57+F58-F59+F60</f>
        <v>121.04121254719669</v>
      </c>
      <c r="G62" s="171">
        <f t="shared" si="26"/>
        <v>118.04121254719669</v>
      </c>
      <c r="H62" s="179">
        <f>H53-H57+H58-H59+H60</f>
        <v>120.14121254719666</v>
      </c>
      <c r="I62" s="179">
        <f t="shared" ref="I62:J62" si="27">I53-I57+I58-I59+I60</f>
        <v>114.24121254719668</v>
      </c>
      <c r="J62" s="179">
        <f t="shared" si="27"/>
        <v>110.64121254719666</v>
      </c>
      <c r="K62" s="171">
        <f>K53-K57+K58-K59+K60</f>
        <v>125.56721254719668</v>
      </c>
      <c r="L62" s="171">
        <f t="shared" ref="L62" si="28">L53-L57+L58-L59+L60</f>
        <v>122.56721254719668</v>
      </c>
    </row>
    <row r="63" spans="1:12">
      <c r="C63" s="2"/>
      <c r="D63" s="2"/>
      <c r="E63" s="173"/>
      <c r="F63" s="173"/>
      <c r="G63" s="173"/>
      <c r="I63" s="2"/>
      <c r="J63" s="2"/>
      <c r="L63" s="194"/>
    </row>
    <row r="64" spans="1:12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  <c r="K64" s="193" t="s">
        <v>16</v>
      </c>
      <c r="L64" s="193" t="s">
        <v>16</v>
      </c>
    </row>
    <row r="65" spans="1:12">
      <c r="A65" s="22" t="s">
        <v>98</v>
      </c>
      <c r="B65" s="23">
        <f t="shared" ref="B65:G65" si="29">B17-B23-B51+B21+B33</f>
        <v>154.66068814250946</v>
      </c>
      <c r="C65" s="23">
        <f t="shared" si="29"/>
        <v>152.20068814250948</v>
      </c>
      <c r="D65" s="23">
        <f t="shared" si="29"/>
        <v>149.51068814250948</v>
      </c>
      <c r="E65" s="171">
        <f t="shared" si="29"/>
        <v>149.00000000000006</v>
      </c>
      <c r="F65" s="171">
        <f t="shared" si="29"/>
        <v>146.00000000000006</v>
      </c>
      <c r="G65" s="171">
        <f t="shared" si="29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  <c r="K65" s="171">
        <f t="shared" ref="K65:L65" si="30">K17-K23-K51+K21+K33</f>
        <v>152.23600000000005</v>
      </c>
      <c r="L65" s="171">
        <f t="shared" si="30"/>
        <v>152.23600000000005</v>
      </c>
    </row>
  </sheetData>
  <mergeCells count="4">
    <mergeCell ref="B1:D1"/>
    <mergeCell ref="E1:G1"/>
    <mergeCell ref="H1:J1"/>
    <mergeCell ref="K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2" customWidth="1"/>
    <col min="7" max="7" width="15.6640625" style="3" customWidth="1"/>
    <col min="8" max="8" width="15.6640625" style="2" customWidth="1"/>
    <col min="9" max="9" width="15.6640625" style="3" customWidth="1"/>
    <col min="10" max="10" width="15.6640625" style="194" customWidth="1"/>
    <col min="11" max="11" width="15.6640625" style="3" customWidth="1"/>
    <col min="12" max="16384" width="9" style="3"/>
  </cols>
  <sheetData>
    <row r="1" spans="1:11" ht="14.25" customHeight="1">
      <c r="A1" s="4"/>
      <c r="B1" s="205" t="s">
        <v>114</v>
      </c>
      <c r="C1" s="205"/>
      <c r="D1" s="205" t="s">
        <v>123</v>
      </c>
      <c r="E1" s="205"/>
      <c r="F1" s="205" t="s">
        <v>128</v>
      </c>
      <c r="G1" s="205"/>
      <c r="H1" s="205" t="s">
        <v>129</v>
      </c>
      <c r="I1" s="205"/>
      <c r="J1" s="207" t="s">
        <v>132</v>
      </c>
      <c r="K1" s="207"/>
    </row>
    <row r="2" spans="1:11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  <c r="J2" s="174" t="s">
        <v>102</v>
      </c>
      <c r="K2" s="198" t="s">
        <v>110</v>
      </c>
    </row>
    <row r="3" spans="1:11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</row>
    <row r="4" spans="1:11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  <c r="J4" s="164">
        <v>100</v>
      </c>
      <c r="K4" s="164">
        <v>100</v>
      </c>
    </row>
    <row r="5" spans="1:11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  <c r="J5" s="191" t="s">
        <v>16</v>
      </c>
      <c r="K5" s="191" t="s">
        <v>16</v>
      </c>
    </row>
    <row r="6" spans="1:11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  <c r="J6" s="191" t="s">
        <v>16</v>
      </c>
      <c r="K6" s="191" t="s">
        <v>16</v>
      </c>
    </row>
    <row r="7" spans="1:11" ht="28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  <c r="J7" s="192">
        <v>0.01</v>
      </c>
      <c r="K7" s="192">
        <v>0.01</v>
      </c>
    </row>
    <row r="8" spans="1:11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  <c r="J8" s="191" t="s">
        <v>16</v>
      </c>
      <c r="K8" s="191" t="s">
        <v>16</v>
      </c>
    </row>
    <row r="9" spans="1:11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  <c r="J9" s="164" t="s">
        <v>22</v>
      </c>
      <c r="K9" s="164" t="s">
        <v>22</v>
      </c>
    </row>
    <row r="10" spans="1:11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  <c r="J10" s="164">
        <v>3</v>
      </c>
      <c r="K10" s="164">
        <v>3</v>
      </c>
    </row>
    <row r="11" spans="1:11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  <c r="J11" s="168"/>
      <c r="K11" s="168"/>
    </row>
    <row r="12" spans="1:11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  <c r="J12" s="164">
        <v>1</v>
      </c>
      <c r="K12" s="164">
        <v>1</v>
      </c>
    </row>
    <row r="13" spans="1:11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  <c r="J13" s="164">
        <v>64</v>
      </c>
      <c r="K13" s="164">
        <v>64</v>
      </c>
    </row>
    <row r="14" spans="1:11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  <c r="J14" s="164">
        <v>1</v>
      </c>
      <c r="K14" s="164">
        <v>1</v>
      </c>
    </row>
    <row r="15" spans="1:11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  <c r="J15" s="164" t="s">
        <v>16</v>
      </c>
      <c r="K15" s="164" t="s">
        <v>16</v>
      </c>
    </row>
    <row r="16" spans="1:11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  <c r="J16" s="164">
        <v>23</v>
      </c>
      <c r="K16" s="164">
        <v>23</v>
      </c>
    </row>
    <row r="17" spans="1:11" ht="28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  <c r="J17" s="164">
        <v>23</v>
      </c>
      <c r="K17" s="164">
        <v>23</v>
      </c>
    </row>
    <row r="18" spans="1:11" ht="42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  <c r="J18" s="164">
        <f>J19+10*LOG10(J12/J14)-J20</f>
        <v>0</v>
      </c>
      <c r="K18" s="164">
        <f>K19+10*LOG10(K12/K14)-K20</f>
        <v>-3</v>
      </c>
    </row>
    <row r="19" spans="1:11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  <c r="J19" s="164">
        <v>0</v>
      </c>
      <c r="K19" s="164">
        <v>-3</v>
      </c>
    </row>
    <row r="20" spans="1:11" ht="42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  <c r="J20" s="164">
        <v>0</v>
      </c>
      <c r="K20" s="164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  <c r="J21" s="164">
        <v>0</v>
      </c>
      <c r="K21" s="164">
        <v>0</v>
      </c>
    </row>
    <row r="22" spans="1:11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64">
        <v>0</v>
      </c>
      <c r="K22" s="164">
        <v>0</v>
      </c>
    </row>
    <row r="23" spans="1:11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64">
        <v>0</v>
      </c>
      <c r="K23" s="164">
        <v>0</v>
      </c>
    </row>
    <row r="24" spans="1:11" ht="28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  <c r="J24" s="164">
        <v>1</v>
      </c>
      <c r="K24" s="164">
        <v>1</v>
      </c>
    </row>
    <row r="25" spans="1:11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  <c r="J25" s="164">
        <f>J17+J18+J21+J22-J24</f>
        <v>22</v>
      </c>
      <c r="K25" s="164">
        <f>K17+K18+K21+K22-K24</f>
        <v>19</v>
      </c>
    </row>
    <row r="26" spans="1:11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  <c r="J26" s="191" t="s">
        <v>16</v>
      </c>
      <c r="K26" s="191" t="s">
        <v>16</v>
      </c>
    </row>
    <row r="27" spans="1:11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  <c r="J27" s="168"/>
      <c r="K27" s="168"/>
    </row>
    <row r="28" spans="1:11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  <c r="J28" s="164">
        <v>192</v>
      </c>
      <c r="K28" s="164">
        <v>192</v>
      </c>
    </row>
    <row r="29" spans="1:11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  <c r="J29" s="163">
        <v>4</v>
      </c>
      <c r="K29" s="163">
        <v>4</v>
      </c>
    </row>
    <row r="30" spans="1:11" ht="42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  <c r="J30" s="164">
        <f>J31+10*LOG10(J28/J13)-J32</f>
        <v>8.0612125471966252</v>
      </c>
      <c r="K30" s="164">
        <f>K31+10*LOG10(K28/K13)-K32</f>
        <v>8.0612125471966252</v>
      </c>
    </row>
    <row r="31" spans="1:11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  <c r="J31" s="164">
        <v>8</v>
      </c>
      <c r="K31" s="164">
        <v>8</v>
      </c>
    </row>
    <row r="32" spans="1:11" ht="42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  <c r="J32" s="163">
        <v>4.71</v>
      </c>
      <c r="K32" s="163">
        <v>4.71</v>
      </c>
    </row>
    <row r="33" spans="1:11" ht="28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  <c r="J33" s="169">
        <v>12</v>
      </c>
      <c r="K33" s="169">
        <v>12</v>
      </c>
    </row>
    <row r="34" spans="1:11" ht="28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  <c r="J34" s="164">
        <v>3</v>
      </c>
      <c r="K34" s="164">
        <v>3</v>
      </c>
    </row>
    <row r="35" spans="1:11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  <c r="J35" s="164">
        <v>5</v>
      </c>
      <c r="K35" s="164">
        <v>5</v>
      </c>
    </row>
    <row r="36" spans="1:11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  <c r="J36" s="164">
        <v>-174</v>
      </c>
      <c r="K36" s="164">
        <v>-174</v>
      </c>
    </row>
    <row r="37" spans="1:11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  <c r="J37" s="163">
        <v>-999</v>
      </c>
      <c r="K37" s="163">
        <v>-999</v>
      </c>
    </row>
    <row r="38" spans="1:11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  <c r="J38" s="164" t="s">
        <v>16</v>
      </c>
      <c r="K38" s="164" t="s">
        <v>16</v>
      </c>
    </row>
    <row r="39" spans="1:11" ht="28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  <c r="J39" s="164">
        <f>10*LOG10(10^((J35+J36)/10)+10^(J37/10))</f>
        <v>-169.00000000000003</v>
      </c>
      <c r="K39" s="164">
        <f>10*LOG10(10^((K35+K36)/10)+10^(K37/10))</f>
        <v>-169.00000000000003</v>
      </c>
    </row>
    <row r="40" spans="1:11" ht="28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  <c r="J40" s="191" t="s">
        <v>16</v>
      </c>
      <c r="K40" s="191" t="s">
        <v>16</v>
      </c>
    </row>
    <row r="41" spans="1:11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  <c r="J41" s="163">
        <f>139*15*1000</f>
        <v>2085000</v>
      </c>
      <c r="K41" s="163">
        <f>139*15*1000</f>
        <v>2085000</v>
      </c>
    </row>
    <row r="42" spans="1:11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  <c r="J42" s="164" t="s">
        <v>16</v>
      </c>
      <c r="K42" s="164" t="s">
        <v>16</v>
      </c>
    </row>
    <row r="43" spans="1:11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  <c r="J43" s="164">
        <f>J39+10*LOG10(J41)</f>
        <v>-105.80893940690227</v>
      </c>
      <c r="K43" s="164">
        <f>K39+10*LOG10(K41)</f>
        <v>-105.80893940690227</v>
      </c>
    </row>
    <row r="44" spans="1:11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  <c r="J44" s="191" t="s">
        <v>16</v>
      </c>
      <c r="K44" s="191" t="s">
        <v>16</v>
      </c>
    </row>
    <row r="45" spans="1:11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  <c r="J45" s="169">
        <v>-13.45</v>
      </c>
      <c r="K45" s="169">
        <v>-13.45</v>
      </c>
    </row>
    <row r="46" spans="1:11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  <c r="J46" s="164" t="s">
        <v>16</v>
      </c>
      <c r="K46" s="164" t="s">
        <v>16</v>
      </c>
    </row>
    <row r="47" spans="1:11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  <c r="J47" s="164">
        <v>2</v>
      </c>
      <c r="K47" s="164">
        <v>2</v>
      </c>
    </row>
    <row r="48" spans="1:11" ht="28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64">
        <v>0</v>
      </c>
      <c r="K48" s="164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  <c r="J49" s="191" t="s">
        <v>16</v>
      </c>
      <c r="K49" s="191" t="s">
        <v>16</v>
      </c>
    </row>
    <row r="50" spans="1:11" ht="28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  <c r="J50" s="164">
        <f>J43+J45+J47-J48</f>
        <v>-117.25893940690227</v>
      </c>
      <c r="K50" s="164">
        <f>K43+K45+K47-K48</f>
        <v>-117.25893940690227</v>
      </c>
    </row>
    <row r="51" spans="1:11" ht="28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  <c r="J51" s="164" t="s">
        <v>16</v>
      </c>
      <c r="K51" s="164" t="s">
        <v>16</v>
      </c>
    </row>
    <row r="52" spans="1:11" ht="28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  <c r="J52" s="171">
        <f>J25+J30+J33-J34-J50</f>
        <v>156.32015195409889</v>
      </c>
      <c r="K52" s="171">
        <f>K25+K30+K33-K34-K50</f>
        <v>153.32015195409889</v>
      </c>
    </row>
    <row r="53" spans="1:11" ht="28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  <c r="J53" s="193" t="s">
        <v>16</v>
      </c>
      <c r="K53" s="193" t="s">
        <v>16</v>
      </c>
    </row>
    <row r="54" spans="1:11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  <c r="J54" s="168"/>
      <c r="K54" s="168"/>
    </row>
    <row r="55" spans="1:11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  <c r="J55" s="163">
        <v>7</v>
      </c>
      <c r="K55" s="163">
        <v>7</v>
      </c>
    </row>
    <row r="56" spans="1:11" ht="28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  <c r="J56" s="163">
        <v>7.56</v>
      </c>
      <c r="K56" s="163">
        <v>7.56</v>
      </c>
    </row>
    <row r="57" spans="1:11" ht="28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  <c r="J57" s="191" t="s">
        <v>16</v>
      </c>
      <c r="K57" s="191" t="s">
        <v>16</v>
      </c>
    </row>
    <row r="58" spans="1:11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63">
        <v>0</v>
      </c>
      <c r="K58" s="163">
        <v>0</v>
      </c>
    </row>
    <row r="59" spans="1:11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  <c r="J59" s="163">
        <v>26.25</v>
      </c>
      <c r="K59" s="163">
        <v>26.25</v>
      </c>
    </row>
    <row r="60" spans="1:11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  <c r="J60" s="163">
        <v>0</v>
      </c>
      <c r="K60" s="163">
        <v>0</v>
      </c>
    </row>
    <row r="61" spans="1:11" ht="28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  <c r="J61" s="171">
        <f>J52-J56+J58-J59+J60</f>
        <v>122.51015195409889</v>
      </c>
      <c r="K61" s="171">
        <f>K52-K56+K58-K59+K60</f>
        <v>119.51015195409889</v>
      </c>
    </row>
    <row r="62" spans="1:11" ht="28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  <c r="J62" s="193" t="s">
        <v>16</v>
      </c>
      <c r="K62" s="193" t="s">
        <v>16</v>
      </c>
    </row>
    <row r="63" spans="1:11">
      <c r="C63" s="2"/>
      <c r="E63" s="2"/>
      <c r="G63" s="2"/>
      <c r="I63" s="2"/>
      <c r="K63" s="194"/>
    </row>
    <row r="64" spans="1:11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  <c r="J64" s="171">
        <f>J17+J22-J50+J21+J33</f>
        <v>152.25893940690227</v>
      </c>
      <c r="K64" s="171">
        <f>K17+K22-K50+K21+K33</f>
        <v>152.25893940690227</v>
      </c>
    </row>
    <row r="65" spans="1:11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  <c r="J65" s="193" t="s">
        <v>16</v>
      </c>
      <c r="K65" s="193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50" customWidth="1"/>
    <col min="2" max="4" width="15.6640625" style="2" customWidth="1"/>
    <col min="5" max="5" width="15.6640625" style="46" customWidth="1"/>
    <col min="6" max="6" width="38.5" style="1" customWidth="1"/>
    <col min="7" max="7" width="20.25" style="3" customWidth="1"/>
    <col min="8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201" t="s">
        <v>4</v>
      </c>
      <c r="C5" s="201"/>
      <c r="D5" s="201"/>
      <c r="E5" s="201"/>
      <c r="F5" s="201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4</v>
      </c>
      <c r="C8" s="178">
        <v>4</v>
      </c>
      <c r="D8" s="178">
        <v>4</v>
      </c>
      <c r="E8" s="178">
        <v>4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8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8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8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8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202" t="s">
        <v>88</v>
      </c>
    </row>
    <row r="61" spans="1:7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3"/>
    </row>
    <row r="62" spans="1:7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3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3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3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4"/>
    </row>
    <row r="66" spans="1:7" ht="28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8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5"/>
  <sheetViews>
    <sheetView workbookViewId="0">
      <pane xSplit="1" ySplit="1" topLeftCell="AD54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5" width="15.6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6640625" style="2" customWidth="1"/>
    <col min="29" max="33" width="15.6640625" style="3" customWidth="1"/>
    <col min="34" max="34" width="15.6640625" style="194" customWidth="1"/>
    <col min="35" max="35" width="15.6640625" style="3" customWidth="1"/>
    <col min="36" max="16384" width="9" style="3"/>
  </cols>
  <sheetData>
    <row r="1" spans="1:35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114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132</v>
      </c>
      <c r="AI1" s="205"/>
    </row>
    <row r="2" spans="1:3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74" t="s">
        <v>102</v>
      </c>
      <c r="AI2" s="198" t="s">
        <v>103</v>
      </c>
    </row>
    <row r="3" spans="1:35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</row>
    <row r="4" spans="1:3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64">
        <v>100</v>
      </c>
      <c r="AI4" s="164">
        <v>100</v>
      </c>
    </row>
    <row r="5" spans="1:3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91" t="s">
        <v>16</v>
      </c>
      <c r="AI5" s="191" t="s">
        <v>16</v>
      </c>
    </row>
    <row r="6" spans="1:3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91" t="s">
        <v>16</v>
      </c>
      <c r="AI6" s="191" t="s">
        <v>16</v>
      </c>
    </row>
    <row r="7" spans="1:3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92">
        <v>0.01</v>
      </c>
      <c r="AI7" s="192">
        <v>0.01</v>
      </c>
    </row>
    <row r="8" spans="1:3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91" t="s">
        <v>16</v>
      </c>
      <c r="AI8" s="191" t="s">
        <v>16</v>
      </c>
    </row>
    <row r="9" spans="1:3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64" t="s">
        <v>22</v>
      </c>
      <c r="AI9" s="164" t="s">
        <v>22</v>
      </c>
    </row>
    <row r="10" spans="1:3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64">
        <v>3</v>
      </c>
      <c r="AI10" s="164">
        <v>3</v>
      </c>
    </row>
    <row r="11" spans="1:3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68"/>
      <c r="AI11" s="168"/>
    </row>
    <row r="12" spans="1:3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64">
        <v>192</v>
      </c>
      <c r="AI12" s="164">
        <v>192</v>
      </c>
    </row>
    <row r="13" spans="1:3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  <c r="AH13" s="164">
        <v>64</v>
      </c>
      <c r="AI13" s="164">
        <v>64</v>
      </c>
    </row>
    <row r="14" spans="1:3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63">
        <v>4</v>
      </c>
      <c r="AI14" s="163">
        <v>4</v>
      </c>
    </row>
    <row r="15" spans="1:3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63">
        <v>24</v>
      </c>
      <c r="AI15" s="163">
        <v>24</v>
      </c>
    </row>
    <row r="16" spans="1:3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  <c r="AH16" s="164">
        <f t="shared" ref="AE16:AI16" si="4">AH15+10*LOG10(AH4)</f>
        <v>44</v>
      </c>
      <c r="AI16" s="164">
        <f t="shared" si="4"/>
        <v>44</v>
      </c>
    </row>
    <row r="17" spans="1:35" ht="28">
      <c r="A17" s="8" t="s">
        <v>35</v>
      </c>
      <c r="B17" s="29">
        <f t="shared" ref="B17:L17" si="5">B15+10*LOG10(B41/1000000)</f>
        <v>45.375437381428746</v>
      </c>
      <c r="C17" s="29">
        <f t="shared" si="5"/>
        <v>45.375437381428746</v>
      </c>
      <c r="D17" s="29">
        <f t="shared" si="5"/>
        <v>45.375437381428746</v>
      </c>
      <c r="E17" s="29">
        <f t="shared" si="5"/>
        <v>36.375437381428746</v>
      </c>
      <c r="F17" s="29">
        <f t="shared" si="5"/>
        <v>36.375437381428746</v>
      </c>
      <c r="G17" s="73">
        <f t="shared" si="5"/>
        <v>36.375437381428746</v>
      </c>
      <c r="H17" s="73">
        <f t="shared" si="5"/>
        <v>36.375437381428746</v>
      </c>
      <c r="I17" s="73">
        <f t="shared" si="5"/>
        <v>36.375437381428746</v>
      </c>
      <c r="J17" s="13">
        <f t="shared" si="5"/>
        <v>45.375437381428746</v>
      </c>
      <c r="K17" s="13">
        <f t="shared" si="5"/>
        <v>45.375437381428746</v>
      </c>
      <c r="L17" s="13">
        <f t="shared" si="5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6">P15+10*LOG10(P41/1000000)</f>
        <v>45.375437381428746</v>
      </c>
      <c r="Q17" s="164">
        <f t="shared" si="6"/>
        <v>45.375437381428746</v>
      </c>
      <c r="R17" s="164">
        <f t="shared" si="6"/>
        <v>45.375437381428746</v>
      </c>
      <c r="S17" s="166">
        <f t="shared" si="6"/>
        <v>36.375437381428746</v>
      </c>
      <c r="T17" s="166">
        <f t="shared" si="6"/>
        <v>36.375437381428746</v>
      </c>
      <c r="U17" s="166">
        <f t="shared" si="6"/>
        <v>36.375437381428746</v>
      </c>
      <c r="V17" s="166">
        <f t="shared" ref="V17:AA17" si="7">V15+10*LOG10(V41/1000000)</f>
        <v>45.375437381428746</v>
      </c>
      <c r="W17" s="166">
        <f t="shared" si="7"/>
        <v>45.375437381428746</v>
      </c>
      <c r="X17" s="166">
        <f t="shared" si="7"/>
        <v>45.375437381428746</v>
      </c>
      <c r="Y17" s="166">
        <f t="shared" si="7"/>
        <v>36.375437381428746</v>
      </c>
      <c r="Z17" s="166">
        <f t="shared" si="7"/>
        <v>36.375437381428746</v>
      </c>
      <c r="AA17" s="166">
        <f t="shared" si="7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G17" si="8">AE15+10*LOG10(AE41/1000000)</f>
        <v>36.375437381428746</v>
      </c>
      <c r="AF17" s="164">
        <f t="shared" si="8"/>
        <v>36.375437381428746</v>
      </c>
      <c r="AG17" s="164">
        <f t="shared" si="8"/>
        <v>36.375437381428746</v>
      </c>
      <c r="AH17" s="164">
        <f t="shared" ref="AE17:AI17" si="9">AH15+10*LOG10(AH41/1000000)</f>
        <v>36.375437381428746</v>
      </c>
      <c r="AI17" s="164">
        <f t="shared" si="9"/>
        <v>36.375437381428746</v>
      </c>
    </row>
    <row r="18" spans="1:35" ht="42">
      <c r="A18" s="15" t="s">
        <v>37</v>
      </c>
      <c r="B18" s="29">
        <f t="shared" ref="B18:L18" si="10">B19+10*LOG10(B12/B13)-B20</f>
        <v>12.771212547196624</v>
      </c>
      <c r="C18" s="29">
        <f t="shared" si="10"/>
        <v>12.771212547196624</v>
      </c>
      <c r="D18" s="29">
        <f t="shared" si="10"/>
        <v>12.771212547196624</v>
      </c>
      <c r="E18" s="29">
        <f t="shared" si="10"/>
        <v>9.8212125471966232</v>
      </c>
      <c r="F18" s="29">
        <f t="shared" si="10"/>
        <v>9.8212125471966232</v>
      </c>
      <c r="G18" s="73">
        <f t="shared" si="10"/>
        <v>12.771212547196624</v>
      </c>
      <c r="H18" s="73">
        <f t="shared" si="10"/>
        <v>12.771212547196624</v>
      </c>
      <c r="I18" s="73">
        <f t="shared" si="10"/>
        <v>12.771212547196624</v>
      </c>
      <c r="J18" s="13">
        <f t="shared" si="10"/>
        <v>10.121212547196624</v>
      </c>
      <c r="K18" s="13">
        <f t="shared" si="10"/>
        <v>10.121212547196624</v>
      </c>
      <c r="L18" s="13">
        <f t="shared" si="10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11">P19+10*LOG10(P12/P13)-P20</f>
        <v>12.771212547196624</v>
      </c>
      <c r="Q18" s="164">
        <f t="shared" si="11"/>
        <v>12.771212547196624</v>
      </c>
      <c r="R18" s="164">
        <f t="shared" si="11"/>
        <v>12.771212547196624</v>
      </c>
      <c r="S18" s="166">
        <f t="shared" si="11"/>
        <v>12.771212547196624</v>
      </c>
      <c r="T18" s="166">
        <f t="shared" si="11"/>
        <v>12.771212547196624</v>
      </c>
      <c r="U18" s="166">
        <f t="shared" si="11"/>
        <v>12.771212547196624</v>
      </c>
      <c r="V18" s="166">
        <f t="shared" ref="V18:AA18" si="12">V19+10*LOG10(V12/V13)-V20</f>
        <v>12.771212547196624</v>
      </c>
      <c r="W18" s="166">
        <f t="shared" si="12"/>
        <v>12.771212547196624</v>
      </c>
      <c r="X18" s="166">
        <f t="shared" si="12"/>
        <v>12.771212547196624</v>
      </c>
      <c r="Y18" s="166">
        <f t="shared" si="12"/>
        <v>12.771212547196624</v>
      </c>
      <c r="Z18" s="166">
        <f t="shared" si="12"/>
        <v>12.771212547196624</v>
      </c>
      <c r="AA18" s="166">
        <f t="shared" si="12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3">AE19+10*LOG10(AE12/AE13)-AE20</f>
        <v>12.771212547196624</v>
      </c>
      <c r="AF18" s="164">
        <f t="shared" si="13"/>
        <v>12.771212547196624</v>
      </c>
      <c r="AG18" s="164">
        <f t="shared" si="13"/>
        <v>12.771212547196624</v>
      </c>
      <c r="AH18" s="164">
        <f t="shared" ref="AE18:AI18" si="14">AH19+10*LOG10(AH12/AH13)-AH20</f>
        <v>9.2312125471966233</v>
      </c>
      <c r="AI18" s="164">
        <f t="shared" si="14"/>
        <v>9.2312125471966233</v>
      </c>
    </row>
    <row r="19" spans="1:3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64">
        <v>8</v>
      </c>
      <c r="AI19" s="164">
        <v>8</v>
      </c>
    </row>
    <row r="20" spans="1:35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63">
        <v>3.54</v>
      </c>
      <c r="AI20" s="163">
        <v>3.54</v>
      </c>
    </row>
    <row r="21" spans="1:35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5">10*LOG10(K13/K14)</f>
        <v>15.051499783199061</v>
      </c>
      <c r="L21" s="17">
        <f t="shared" si="15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69">
        <v>12</v>
      </c>
      <c r="AI21" s="169">
        <v>12</v>
      </c>
    </row>
    <row r="22" spans="1:3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64">
        <v>0</v>
      </c>
      <c r="AI22" s="164">
        <v>0</v>
      </c>
    </row>
    <row r="23" spans="1:3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</row>
    <row r="24" spans="1:35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64">
        <v>3</v>
      </c>
      <c r="AI24" s="164">
        <v>3</v>
      </c>
    </row>
    <row r="25" spans="1:35">
      <c r="A25" s="8" t="s">
        <v>49</v>
      </c>
      <c r="B25" s="29">
        <f t="shared" ref="B25:L25" si="16">B17+B18+B21+B22-B24</f>
        <v>67.146649928625379</v>
      </c>
      <c r="C25" s="29">
        <f t="shared" si="16"/>
        <v>67.146649928625379</v>
      </c>
      <c r="D25" s="29">
        <f t="shared" si="16"/>
        <v>67.146649928625379</v>
      </c>
      <c r="E25" s="29">
        <f t="shared" si="16"/>
        <v>55.236649928625368</v>
      </c>
      <c r="F25" s="29">
        <f t="shared" si="16"/>
        <v>55.236649928625368</v>
      </c>
      <c r="G25" s="73">
        <f t="shared" si="16"/>
        <v>58.146649928625372</v>
      </c>
      <c r="H25" s="73">
        <f t="shared" si="16"/>
        <v>58.146649928625372</v>
      </c>
      <c r="I25" s="73">
        <f t="shared" si="16"/>
        <v>58.146649928625372</v>
      </c>
      <c r="J25" s="13">
        <f t="shared" si="16"/>
        <v>67.548149711824436</v>
      </c>
      <c r="K25" s="13">
        <f t="shared" si="16"/>
        <v>67.548149711824436</v>
      </c>
      <c r="L25" s="13">
        <f t="shared" si="16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7">P17+P18+P21+P22-P24</f>
        <v>70.196649928625376</v>
      </c>
      <c r="Q25" s="164">
        <f t="shared" si="17"/>
        <v>70.196649928625376</v>
      </c>
      <c r="R25" s="164">
        <f t="shared" si="17"/>
        <v>70.196649928625376</v>
      </c>
      <c r="S25" s="166">
        <f t="shared" si="17"/>
        <v>58.146649928625372</v>
      </c>
      <c r="T25" s="166">
        <f t="shared" si="17"/>
        <v>58.146649928625372</v>
      </c>
      <c r="U25" s="166">
        <f t="shared" si="17"/>
        <v>58.146649928625372</v>
      </c>
      <c r="V25" s="166">
        <f t="shared" ref="V25:AA25" si="18">V17+V18+V21+V22-V24</f>
        <v>67.146649928625379</v>
      </c>
      <c r="W25" s="166">
        <f t="shared" si="18"/>
        <v>67.146649928625379</v>
      </c>
      <c r="X25" s="166">
        <f t="shared" si="18"/>
        <v>67.146649928625379</v>
      </c>
      <c r="Y25" s="166">
        <f t="shared" si="18"/>
        <v>58.146649928625372</v>
      </c>
      <c r="Z25" s="166">
        <f t="shared" si="18"/>
        <v>58.146649928625372</v>
      </c>
      <c r="AA25" s="166">
        <f t="shared" si="18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G25" si="19">AE17+AE18+AE21+AE22-AE24</f>
        <v>58.146649928625372</v>
      </c>
      <c r="AF25" s="164">
        <f t="shared" si="19"/>
        <v>58.146649928625372</v>
      </c>
      <c r="AG25" s="164">
        <f t="shared" si="19"/>
        <v>58.146649928625372</v>
      </c>
      <c r="AH25" s="164">
        <f t="shared" ref="AE25:AI25" si="20">AH17+AH18+AH21+AH22-AH24</f>
        <v>54.606649928625373</v>
      </c>
      <c r="AI25" s="164">
        <f t="shared" si="20"/>
        <v>54.606649928625373</v>
      </c>
    </row>
    <row r="26" spans="1:3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91" t="s">
        <v>16</v>
      </c>
      <c r="AI26" s="191" t="s">
        <v>16</v>
      </c>
    </row>
    <row r="27" spans="1:3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68"/>
      <c r="AI27" s="168"/>
    </row>
    <row r="28" spans="1:3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64">
        <v>4</v>
      </c>
      <c r="AI28" s="164">
        <v>2</v>
      </c>
    </row>
    <row r="29" spans="1:3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64">
        <v>4</v>
      </c>
      <c r="AI29" s="164">
        <v>2</v>
      </c>
    </row>
    <row r="30" spans="1:35" ht="42">
      <c r="A30" s="8" t="s">
        <v>56</v>
      </c>
      <c r="B30" s="29">
        <f t="shared" ref="B30:L30" si="21">B31+10*LOG10(B28/B29)-B32</f>
        <v>0</v>
      </c>
      <c r="C30" s="29">
        <f t="shared" si="21"/>
        <v>-3</v>
      </c>
      <c r="D30" s="29">
        <f t="shared" si="21"/>
        <v>-3</v>
      </c>
      <c r="E30" s="29">
        <f t="shared" si="21"/>
        <v>0</v>
      </c>
      <c r="F30" s="29">
        <f t="shared" si="21"/>
        <v>-3</v>
      </c>
      <c r="G30" s="73">
        <f t="shared" si="21"/>
        <v>0</v>
      </c>
      <c r="H30" s="73">
        <f t="shared" si="21"/>
        <v>-3</v>
      </c>
      <c r="I30" s="73">
        <f t="shared" si="21"/>
        <v>-3</v>
      </c>
      <c r="J30" s="13">
        <f t="shared" si="21"/>
        <v>0</v>
      </c>
      <c r="K30" s="13">
        <f t="shared" si="21"/>
        <v>-3</v>
      </c>
      <c r="L30" s="13">
        <f t="shared" si="21"/>
        <v>-3</v>
      </c>
      <c r="M30" s="103">
        <v>0</v>
      </c>
      <c r="N30" s="103">
        <v>-3</v>
      </c>
      <c r="O30" s="103">
        <v>-3</v>
      </c>
      <c r="P30" s="164">
        <f t="shared" ref="P30:U30" si="22">P31+10*LOG10(P28/P29)-P32</f>
        <v>0</v>
      </c>
      <c r="Q30" s="164">
        <f t="shared" si="22"/>
        <v>-3</v>
      </c>
      <c r="R30" s="164">
        <f t="shared" si="22"/>
        <v>-3</v>
      </c>
      <c r="S30" s="166">
        <f t="shared" si="22"/>
        <v>0</v>
      </c>
      <c r="T30" s="166">
        <f t="shared" si="22"/>
        <v>-3</v>
      </c>
      <c r="U30" s="166">
        <f t="shared" si="22"/>
        <v>-3</v>
      </c>
      <c r="V30" s="166">
        <f t="shared" ref="V30:AA30" si="23">V31+10*LOG10(V28/V29)-V32</f>
        <v>0</v>
      </c>
      <c r="W30" s="166">
        <f t="shared" si="23"/>
        <v>-3</v>
      </c>
      <c r="X30" s="166">
        <f t="shared" si="23"/>
        <v>-3</v>
      </c>
      <c r="Y30" s="166">
        <f t="shared" si="23"/>
        <v>0</v>
      </c>
      <c r="Z30" s="166">
        <f t="shared" si="23"/>
        <v>-3</v>
      </c>
      <c r="AA30" s="166">
        <f t="shared" si="23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4">AE31+10*LOG10(AE28/AE29)-AE32</f>
        <v>0</v>
      </c>
      <c r="AF30" s="164">
        <f t="shared" si="24"/>
        <v>-3</v>
      </c>
      <c r="AG30" s="164">
        <f t="shared" si="24"/>
        <v>-3</v>
      </c>
      <c r="AH30" s="164">
        <f t="shared" ref="AE30:AI30" si="25">AH31+10*LOG10(AH28/AH29)-AH32</f>
        <v>0</v>
      </c>
      <c r="AI30" s="164">
        <f t="shared" si="25"/>
        <v>-3</v>
      </c>
    </row>
    <row r="31" spans="1:3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64">
        <v>0</v>
      </c>
      <c r="AI31" s="164">
        <v>-3</v>
      </c>
    </row>
    <row r="32" spans="1:35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</row>
    <row r="33" spans="1:35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64">
        <v>0</v>
      </c>
      <c r="AI33" s="164">
        <v>0</v>
      </c>
    </row>
    <row r="34" spans="1:35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64">
        <v>1</v>
      </c>
      <c r="AI34" s="164">
        <v>1</v>
      </c>
    </row>
    <row r="35" spans="1:3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64">
        <v>7</v>
      </c>
      <c r="AI35" s="164">
        <v>7</v>
      </c>
    </row>
    <row r="36" spans="1:3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64">
        <v>-174</v>
      </c>
      <c r="AI36" s="164">
        <v>-174</v>
      </c>
    </row>
    <row r="37" spans="1:3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63">
        <v>-999</v>
      </c>
      <c r="AI37" s="163">
        <v>-999</v>
      </c>
    </row>
    <row r="38" spans="1:3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64" t="s">
        <v>16</v>
      </c>
      <c r="AI38" s="164" t="s">
        <v>16</v>
      </c>
    </row>
    <row r="39" spans="1:35" ht="28">
      <c r="A39" s="8" t="s">
        <v>106</v>
      </c>
      <c r="B39" s="29">
        <f t="shared" ref="B39:L39" si="26">10*LOG10(10^((B35+B36)/10)+10^(B37/10))</f>
        <v>-167.00000000000003</v>
      </c>
      <c r="C39" s="29">
        <f t="shared" si="26"/>
        <v>-167.00000000000003</v>
      </c>
      <c r="D39" s="29">
        <f t="shared" si="26"/>
        <v>-167.00000000000003</v>
      </c>
      <c r="E39" s="29">
        <f t="shared" si="26"/>
        <v>-167.00000000000003</v>
      </c>
      <c r="F39" s="29">
        <f t="shared" si="26"/>
        <v>-167.00000000000003</v>
      </c>
      <c r="G39" s="73">
        <f t="shared" si="26"/>
        <v>-167.00000000000003</v>
      </c>
      <c r="H39" s="73">
        <f t="shared" si="26"/>
        <v>-167.00000000000003</v>
      </c>
      <c r="I39" s="73">
        <f t="shared" si="26"/>
        <v>-167.00000000000003</v>
      </c>
      <c r="J39" s="13">
        <f t="shared" si="26"/>
        <v>-164.98918835931039</v>
      </c>
      <c r="K39" s="13">
        <f t="shared" si="26"/>
        <v>-164.98918835931039</v>
      </c>
      <c r="L39" s="13">
        <f t="shared" si="26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7">10*LOG10(10^((P35+P36)/10)+10^(P37/10))</f>
        <v>-164.98918835931039</v>
      </c>
      <c r="Q39" s="164">
        <f t="shared" si="27"/>
        <v>-164.98918835931039</v>
      </c>
      <c r="R39" s="164">
        <f t="shared" si="27"/>
        <v>-164.98918835931039</v>
      </c>
      <c r="S39" s="166">
        <f t="shared" si="27"/>
        <v>-167.00000000000003</v>
      </c>
      <c r="T39" s="166">
        <f t="shared" si="27"/>
        <v>-167.00000000000003</v>
      </c>
      <c r="U39" s="166">
        <f t="shared" si="27"/>
        <v>-167.00000000000003</v>
      </c>
      <c r="V39" s="166">
        <f t="shared" ref="V39:AA39" si="28">10*LOG10(10^((V35+V36)/10)+10^(V37/10))</f>
        <v>-164.98918835931039</v>
      </c>
      <c r="W39" s="166">
        <f t="shared" si="28"/>
        <v>-164.98918835931039</v>
      </c>
      <c r="X39" s="166">
        <f t="shared" si="28"/>
        <v>-164.98918835931039</v>
      </c>
      <c r="Y39" s="166">
        <f t="shared" si="28"/>
        <v>-167.00000000000003</v>
      </c>
      <c r="Z39" s="166">
        <f t="shared" si="28"/>
        <v>-167.00000000000003</v>
      </c>
      <c r="AA39" s="166">
        <f t="shared" si="28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G39" si="29">10*LOG10(10^((AE35+AE36)/10)+10^(AE37/10))</f>
        <v>-167.00000000000003</v>
      </c>
      <c r="AF39" s="164">
        <f t="shared" si="29"/>
        <v>-167.00000000000003</v>
      </c>
      <c r="AG39" s="164">
        <f t="shared" si="29"/>
        <v>-167.00000000000003</v>
      </c>
      <c r="AH39" s="164">
        <f t="shared" ref="AE39:AI39" si="30">10*LOG10(10^((AH35+AH36)/10)+10^(AH37/10))</f>
        <v>-167.00000000000003</v>
      </c>
      <c r="AI39" s="164">
        <f t="shared" si="30"/>
        <v>-167.00000000000003</v>
      </c>
    </row>
    <row r="40" spans="1:35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91" t="s">
        <v>16</v>
      </c>
      <c r="AI40" s="191" t="s">
        <v>16</v>
      </c>
    </row>
    <row r="41" spans="1:35">
      <c r="A41" s="21" t="s">
        <v>68</v>
      </c>
      <c r="B41" s="29">
        <f t="shared" ref="B41:L41" si="31">48*360*1000</f>
        <v>17280000</v>
      </c>
      <c r="C41" s="29">
        <f t="shared" si="31"/>
        <v>17280000</v>
      </c>
      <c r="D41" s="29">
        <f t="shared" si="31"/>
        <v>17280000</v>
      </c>
      <c r="E41" s="29">
        <f t="shared" si="31"/>
        <v>17280000</v>
      </c>
      <c r="F41" s="29">
        <f t="shared" si="31"/>
        <v>17280000</v>
      </c>
      <c r="G41" s="73">
        <f t="shared" si="31"/>
        <v>17280000</v>
      </c>
      <c r="H41" s="73">
        <f t="shared" si="31"/>
        <v>17280000</v>
      </c>
      <c r="I41" s="73">
        <f t="shared" si="31"/>
        <v>17280000</v>
      </c>
      <c r="J41" s="13">
        <f t="shared" si="31"/>
        <v>17280000</v>
      </c>
      <c r="K41" s="13">
        <f t="shared" si="31"/>
        <v>17280000</v>
      </c>
      <c r="L41" s="13">
        <f t="shared" si="31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32">48*360*1000</f>
        <v>17280000</v>
      </c>
      <c r="Q41" s="164">
        <f t="shared" si="32"/>
        <v>17280000</v>
      </c>
      <c r="R41" s="164">
        <f t="shared" si="32"/>
        <v>17280000</v>
      </c>
      <c r="S41" s="166">
        <f t="shared" si="32"/>
        <v>17280000</v>
      </c>
      <c r="T41" s="166">
        <f t="shared" si="32"/>
        <v>17280000</v>
      </c>
      <c r="U41" s="166">
        <f t="shared" si="32"/>
        <v>17280000</v>
      </c>
      <c r="V41" s="166">
        <f t="shared" ref="V41:AA41" si="33">48*360*1000</f>
        <v>17280000</v>
      </c>
      <c r="W41" s="166">
        <f t="shared" si="33"/>
        <v>17280000</v>
      </c>
      <c r="X41" s="166">
        <f t="shared" si="33"/>
        <v>17280000</v>
      </c>
      <c r="Y41" s="166">
        <f t="shared" si="33"/>
        <v>17280000</v>
      </c>
      <c r="Z41" s="166">
        <f t="shared" si="33"/>
        <v>17280000</v>
      </c>
      <c r="AA41" s="166">
        <f t="shared" si="33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G41" si="34">48*360*1000</f>
        <v>17280000</v>
      </c>
      <c r="AF41" s="164">
        <f t="shared" si="34"/>
        <v>17280000</v>
      </c>
      <c r="AG41" s="164">
        <f t="shared" si="34"/>
        <v>17280000</v>
      </c>
      <c r="AH41" s="164">
        <f t="shared" ref="AE41:AI41" si="35">48*360*1000</f>
        <v>17280000</v>
      </c>
      <c r="AI41" s="164">
        <f t="shared" si="35"/>
        <v>17280000</v>
      </c>
    </row>
    <row r="42" spans="1:3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64" t="s">
        <v>16</v>
      </c>
      <c r="AI42" s="164" t="s">
        <v>16</v>
      </c>
    </row>
    <row r="43" spans="1:35">
      <c r="A43" s="8" t="s">
        <v>71</v>
      </c>
      <c r="B43" s="29">
        <f t="shared" ref="B43:L43" si="36">B39+10*LOG10(B41)</f>
        <v>-94.624562618571289</v>
      </c>
      <c r="C43" s="29">
        <f t="shared" si="36"/>
        <v>-94.624562618571289</v>
      </c>
      <c r="D43" s="29">
        <f t="shared" si="36"/>
        <v>-94.624562618571289</v>
      </c>
      <c r="E43" s="29">
        <f t="shared" si="36"/>
        <v>-94.624562618571289</v>
      </c>
      <c r="F43" s="29">
        <f t="shared" si="36"/>
        <v>-94.624562618571289</v>
      </c>
      <c r="G43" s="73">
        <f t="shared" si="36"/>
        <v>-94.624562618571289</v>
      </c>
      <c r="H43" s="73">
        <f t="shared" si="36"/>
        <v>-94.624562618571289</v>
      </c>
      <c r="I43" s="73">
        <f t="shared" si="36"/>
        <v>-94.624562618571289</v>
      </c>
      <c r="J43" s="13">
        <f t="shared" si="36"/>
        <v>-92.613750977881651</v>
      </c>
      <c r="K43" s="13">
        <f t="shared" si="36"/>
        <v>-92.613750977881651</v>
      </c>
      <c r="L43" s="13">
        <f t="shared" si="36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7">P39+10*LOG10(P41)</f>
        <v>-92.613750977881651</v>
      </c>
      <c r="Q43" s="164">
        <f t="shared" si="37"/>
        <v>-92.613750977881651</v>
      </c>
      <c r="R43" s="164">
        <f t="shared" si="37"/>
        <v>-92.613750977881651</v>
      </c>
      <c r="S43" s="166">
        <f t="shared" si="37"/>
        <v>-94.624562618571289</v>
      </c>
      <c r="T43" s="166">
        <f t="shared" si="37"/>
        <v>-94.624562618571289</v>
      </c>
      <c r="U43" s="166">
        <f t="shared" si="37"/>
        <v>-94.624562618571289</v>
      </c>
      <c r="V43" s="166">
        <f t="shared" ref="V43:AA43" si="38">V39+10*LOG10(V41)</f>
        <v>-92.613750977881651</v>
      </c>
      <c r="W43" s="166">
        <f t="shared" si="38"/>
        <v>-92.613750977881651</v>
      </c>
      <c r="X43" s="166">
        <f t="shared" si="38"/>
        <v>-92.613750977881651</v>
      </c>
      <c r="Y43" s="166">
        <f t="shared" si="38"/>
        <v>-94.624562618571289</v>
      </c>
      <c r="Z43" s="166">
        <f t="shared" si="38"/>
        <v>-94.624562618571289</v>
      </c>
      <c r="AA43" s="166">
        <f t="shared" si="38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G43" si="39">AE39+10*LOG10(AE41)</f>
        <v>-94.624562618571289</v>
      </c>
      <c r="AF43" s="164">
        <f t="shared" si="39"/>
        <v>-94.624562618571289</v>
      </c>
      <c r="AG43" s="164">
        <f t="shared" si="39"/>
        <v>-94.624562618571289</v>
      </c>
      <c r="AH43" s="164">
        <f t="shared" ref="AE43:AI43" si="40">AH39+10*LOG10(AH41)</f>
        <v>-94.624562618571289</v>
      </c>
      <c r="AI43" s="164">
        <f t="shared" si="40"/>
        <v>-94.624562618571289</v>
      </c>
    </row>
    <row r="44" spans="1:3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91" t="s">
        <v>16</v>
      </c>
      <c r="AI44" s="191" t="s">
        <v>16</v>
      </c>
    </row>
    <row r="45" spans="1:3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  <c r="AH45" s="169">
        <v>-11.2</v>
      </c>
      <c r="AI45" s="169">
        <v>-8.3000000000000007</v>
      </c>
    </row>
    <row r="46" spans="1:3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64" t="s">
        <v>16</v>
      </c>
      <c r="AI46" s="164" t="s">
        <v>16</v>
      </c>
    </row>
    <row r="47" spans="1:3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64">
        <v>2</v>
      </c>
      <c r="AI47" s="164">
        <v>2</v>
      </c>
    </row>
    <row r="48" spans="1:35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64">
        <v>0</v>
      </c>
      <c r="AI48" s="164">
        <v>0</v>
      </c>
    </row>
    <row r="49" spans="1:35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91" t="s">
        <v>16</v>
      </c>
      <c r="AI49" s="191" t="s">
        <v>16</v>
      </c>
    </row>
    <row r="50" spans="1:35" ht="28">
      <c r="A50" s="8" t="s">
        <v>80</v>
      </c>
      <c r="B50" s="29">
        <f t="shared" ref="B50:L50" si="41">B43+B45+B47-B48</f>
        <v>-103.92456261857129</v>
      </c>
      <c r="C50" s="29">
        <f t="shared" si="41"/>
        <v>-100.92456261857129</v>
      </c>
      <c r="D50" s="29">
        <f t="shared" si="41"/>
        <v>-97.424562618571287</v>
      </c>
      <c r="E50" s="29">
        <f t="shared" si="41"/>
        <v>-103.98456261857129</v>
      </c>
      <c r="F50" s="29">
        <f t="shared" si="41"/>
        <v>-97.754562618571285</v>
      </c>
      <c r="G50" s="73">
        <f t="shared" si="41"/>
        <v>-105.30456261857128</v>
      </c>
      <c r="H50" s="73">
        <f t="shared" si="41"/>
        <v>-102.00456261857128</v>
      </c>
      <c r="I50" s="73">
        <f t="shared" si="41"/>
        <v>-98.034562618571286</v>
      </c>
      <c r="J50" s="13">
        <f t="shared" si="41"/>
        <v>-99.113750977881651</v>
      </c>
      <c r="K50" s="13">
        <f t="shared" si="41"/>
        <v>-96.47375097788165</v>
      </c>
      <c r="L50" s="13">
        <f t="shared" si="41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42">P43+P45+P47-P48</f>
        <v>-99.213750977881645</v>
      </c>
      <c r="Q50" s="164">
        <f t="shared" si="42"/>
        <v>-96.313750977881654</v>
      </c>
      <c r="R50" s="164">
        <f t="shared" si="42"/>
        <v>-92.313750977881654</v>
      </c>
      <c r="S50" s="166">
        <f t="shared" si="42"/>
        <v>-103.63456261857129</v>
      </c>
      <c r="T50" s="166">
        <f t="shared" si="42"/>
        <v>-100.70456261857129</v>
      </c>
      <c r="U50" s="166">
        <f t="shared" si="42"/>
        <v>-97.424562618571287</v>
      </c>
      <c r="V50" s="166">
        <f t="shared" ref="V50:AA50" si="43">V43+V45+V47-V48</f>
        <v>-101.86375097788165</v>
      </c>
      <c r="W50" s="166">
        <f t="shared" si="43"/>
        <v>-98.883750977881647</v>
      </c>
      <c r="X50" s="166">
        <f t="shared" si="43"/>
        <v>-95.393750977881652</v>
      </c>
      <c r="Y50" s="166">
        <f t="shared" si="43"/>
        <v>-102.82456261857129</v>
      </c>
      <c r="Z50" s="166">
        <f t="shared" si="43"/>
        <v>-99.824562618571292</v>
      </c>
      <c r="AA50" s="166">
        <f t="shared" si="43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G50" si="44">AE43+AE45+AE47-AE48</f>
        <v>-102.32456261857129</v>
      </c>
      <c r="AF50" s="164">
        <f t="shared" si="44"/>
        <v>-99.624562618571289</v>
      </c>
      <c r="AG50" s="164">
        <f t="shared" si="44"/>
        <v>-96.424562618571287</v>
      </c>
      <c r="AH50" s="164">
        <f t="shared" ref="AE50:AI50" si="45">AH43+AH45+AH47-AH48</f>
        <v>-103.82456261857129</v>
      </c>
      <c r="AI50" s="164">
        <f t="shared" si="45"/>
        <v>-100.92456261857129</v>
      </c>
    </row>
    <row r="51" spans="1:35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91" t="s">
        <v>16</v>
      </c>
      <c r="AI51" s="191" t="s">
        <v>16</v>
      </c>
    </row>
    <row r="52" spans="1:35" ht="28">
      <c r="A52" s="22" t="s">
        <v>83</v>
      </c>
      <c r="B52" s="37">
        <f t="shared" ref="B52:G52" si="46">B25+B30+B33-B34-B50</f>
        <v>170.07121254719667</v>
      </c>
      <c r="C52" s="37">
        <f t="shared" si="46"/>
        <v>164.07121254719667</v>
      </c>
      <c r="D52" s="37">
        <f t="shared" si="46"/>
        <v>160.57121254719667</v>
      </c>
      <c r="E52" s="37">
        <f t="shared" si="46"/>
        <v>158.22121254719667</v>
      </c>
      <c r="F52" s="37">
        <f t="shared" si="46"/>
        <v>148.99121254719665</v>
      </c>
      <c r="G52" s="78">
        <f t="shared" si="46"/>
        <v>162.45121254719666</v>
      </c>
      <c r="H52" s="78">
        <f t="shared" ref="H52:L52" si="47">H25+H30+H33-H34-H50</f>
        <v>156.15121254719665</v>
      </c>
      <c r="I52" s="78">
        <f t="shared" si="47"/>
        <v>152.18121254719665</v>
      </c>
      <c r="J52" s="23">
        <f t="shared" si="47"/>
        <v>165.6619006897061</v>
      </c>
      <c r="K52" s="23">
        <f t="shared" si="47"/>
        <v>160.02190068970609</v>
      </c>
      <c r="L52" s="23">
        <f t="shared" si="47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48">Q25+Q30+Q33-Q34-Q50</f>
        <v>162.51040090650702</v>
      </c>
      <c r="R52" s="171">
        <f t="shared" si="48"/>
        <v>158.51040090650702</v>
      </c>
      <c r="S52" s="171">
        <f>S25+S30+S33-S34-S50</f>
        <v>160.78121254719667</v>
      </c>
      <c r="T52" s="171">
        <f t="shared" ref="T52:U52" si="49">T25+T30+T33-T34-T50</f>
        <v>154.85121254719667</v>
      </c>
      <c r="U52" s="171">
        <f t="shared" si="49"/>
        <v>151.57121254719667</v>
      </c>
      <c r="V52" s="171">
        <f>V25+V30+V33-V34-V50</f>
        <v>168.01040090650702</v>
      </c>
      <c r="W52" s="171">
        <f t="shared" ref="W52:X52" si="50">W25+W30+W33-W34-W50</f>
        <v>162.03040090650703</v>
      </c>
      <c r="X52" s="171">
        <f t="shared" si="50"/>
        <v>158.54040090650705</v>
      </c>
      <c r="Y52" s="171">
        <f>Y25+Y30+Y33-Y34-Y50</f>
        <v>159.97121254719667</v>
      </c>
      <c r="Z52" s="171">
        <f t="shared" ref="Z52:AA52" si="51">Z25+Z30+Z33-Z34-Z50</f>
        <v>153.97121254719667</v>
      </c>
      <c r="AA52" s="171">
        <f t="shared" si="51"/>
        <v>150.97121254719667</v>
      </c>
      <c r="AB52" s="179">
        <f>AB25+AB30+AB33-AB34-AB50</f>
        <v>152.97121254719667</v>
      </c>
      <c r="AC52" s="179">
        <f t="shared" ref="AC52:AD52" si="52">AC25+AC30+AC33-AC34-AC50</f>
        <v>146.77121254719665</v>
      </c>
      <c r="AD52" s="179">
        <f t="shared" si="52"/>
        <v>143.77121254719665</v>
      </c>
      <c r="AE52" s="171">
        <f>AE25+AE30+AE33-AE34-AE50</f>
        <v>159.47121254719667</v>
      </c>
      <c r="AF52" s="171">
        <f t="shared" ref="AF52:AG52" si="53">AF25+AF30+AF33-AF34-AF50</f>
        <v>153.77121254719665</v>
      </c>
      <c r="AG52" s="171">
        <f t="shared" si="53"/>
        <v>150.57121254719667</v>
      </c>
      <c r="AH52" s="171">
        <f>AH25+AH30+AH33-AH34-AH50</f>
        <v>157.43121254719665</v>
      </c>
      <c r="AI52" s="171">
        <f t="shared" ref="AI52" si="54">AI25+AI30+AI33-AI34-AI50</f>
        <v>151.53121254719667</v>
      </c>
    </row>
    <row r="53" spans="1:35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3" t="s">
        <v>16</v>
      </c>
      <c r="AI53" s="193" t="s">
        <v>16</v>
      </c>
    </row>
    <row r="54" spans="1:3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68"/>
      <c r="AI54" s="168"/>
    </row>
    <row r="55" spans="1:3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63">
        <v>7</v>
      </c>
      <c r="AI55" s="163">
        <v>7</v>
      </c>
    </row>
    <row r="56" spans="1:35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63">
        <v>7.56</v>
      </c>
      <c r="AI56" s="163">
        <v>7.56</v>
      </c>
    </row>
    <row r="57" spans="1:35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91" t="s">
        <v>16</v>
      </c>
      <c r="AI57" s="191" t="s">
        <v>16</v>
      </c>
    </row>
    <row r="58" spans="1:3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63">
        <v>0</v>
      </c>
      <c r="AI58" s="163">
        <v>0</v>
      </c>
    </row>
    <row r="59" spans="1:3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63">
        <v>26.25</v>
      </c>
      <c r="AI59" s="163">
        <v>26.25</v>
      </c>
    </row>
    <row r="60" spans="1:3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63">
        <v>0</v>
      </c>
      <c r="AI60" s="163">
        <v>0</v>
      </c>
    </row>
    <row r="61" spans="1:35" ht="28">
      <c r="A61" s="22" t="s">
        <v>108</v>
      </c>
      <c r="B61" s="37">
        <f t="shared" ref="B61:G61" si="55">B52-B56+B58-B59+B60</f>
        <v>136.26121254719666</v>
      </c>
      <c r="C61" s="37">
        <f t="shared" si="55"/>
        <v>130.26121254719666</v>
      </c>
      <c r="D61" s="37">
        <f t="shared" si="55"/>
        <v>126.76121254719666</v>
      </c>
      <c r="E61" s="37">
        <f t="shared" si="55"/>
        <v>124.41121254719667</v>
      </c>
      <c r="F61" s="37">
        <f t="shared" si="55"/>
        <v>115.18121254719665</v>
      </c>
      <c r="G61" s="78">
        <f t="shared" si="55"/>
        <v>128.64121254719666</v>
      </c>
      <c r="H61" s="78">
        <f t="shared" ref="H61:L61" si="56">H52-H56+H58-H59+H60</f>
        <v>122.34121254719665</v>
      </c>
      <c r="I61" s="78">
        <f t="shared" si="56"/>
        <v>118.37121254719665</v>
      </c>
      <c r="J61" s="23">
        <f t="shared" si="56"/>
        <v>131.8519006897061</v>
      </c>
      <c r="K61" s="23">
        <f t="shared" si="56"/>
        <v>126.21190068970608</v>
      </c>
      <c r="L61" s="23">
        <f t="shared" si="56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57">Q52-Q56+Q58-Q59+Q60</f>
        <v>128.680400906507</v>
      </c>
      <c r="R61" s="171">
        <f t="shared" si="57"/>
        <v>124.680400906507</v>
      </c>
      <c r="S61" s="171">
        <f>S52-S56+S58-S59+S60</f>
        <v>126.97121254719667</v>
      </c>
      <c r="T61" s="171">
        <f t="shared" ref="T61:U61" si="58">T52-T56+T58-T59+T60</f>
        <v>121.04121254719666</v>
      </c>
      <c r="U61" s="171">
        <f t="shared" si="58"/>
        <v>117.76121254719666</v>
      </c>
      <c r="V61" s="171">
        <f>V52-V56+V58-V59+V60</f>
        <v>134.20040090650701</v>
      </c>
      <c r="W61" s="171">
        <f t="shared" ref="W61:X61" si="59">W52-W56+W58-W59+W60</f>
        <v>128.22040090650702</v>
      </c>
      <c r="X61" s="171">
        <f t="shared" si="59"/>
        <v>124.73040090650704</v>
      </c>
      <c r="Y61" s="171">
        <f>Y52-Y56+Y58-Y59+Y60</f>
        <v>126.16121254719667</v>
      </c>
      <c r="Z61" s="171">
        <f t="shared" ref="Z61:AA61" si="60">Z52-Z56+Z58-Z59+Z60</f>
        <v>120.16121254719667</v>
      </c>
      <c r="AA61" s="171">
        <f t="shared" si="60"/>
        <v>117.16121254719667</v>
      </c>
      <c r="AB61" s="179">
        <f>AB52-AB56+AB58-AB59+AB60</f>
        <v>119.16121254719667</v>
      </c>
      <c r="AC61" s="179">
        <f t="shared" ref="AC61:AD61" si="61">AC52-AC56+AC58-AC59+AC60</f>
        <v>112.96121254719665</v>
      </c>
      <c r="AD61" s="179">
        <f t="shared" si="61"/>
        <v>109.96121254719665</v>
      </c>
      <c r="AE61" s="171">
        <f>AE52-AE56+AE58-AE59+AE60</f>
        <v>125.66121254719667</v>
      </c>
      <c r="AF61" s="171">
        <f t="shared" ref="AF61:AG61" si="62">AF52-AF56+AF58-AF59+AF60</f>
        <v>119.96121254719665</v>
      </c>
      <c r="AG61" s="171">
        <f t="shared" si="62"/>
        <v>116.76121254719666</v>
      </c>
      <c r="AH61" s="171">
        <f>AH52-AH56+AH58-AH59+AH60</f>
        <v>123.62121254719665</v>
      </c>
      <c r="AI61" s="171">
        <f t="shared" ref="AI61" si="63">AI52-AI56+AI58-AI59+AI60</f>
        <v>117.72121254719667</v>
      </c>
    </row>
    <row r="62" spans="1:35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3" t="s">
        <v>16</v>
      </c>
      <c r="AI62" s="193" t="s">
        <v>16</v>
      </c>
    </row>
    <row r="63" spans="1:3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194"/>
    </row>
    <row r="64" spans="1:35">
      <c r="A64" s="22" t="s">
        <v>97</v>
      </c>
      <c r="B64" s="37">
        <f t="shared" ref="B64:L64" si="64">B17+B22-B50+B21+B33</f>
        <v>161.30000000000004</v>
      </c>
      <c r="C64" s="37">
        <f t="shared" si="64"/>
        <v>158.30000000000004</v>
      </c>
      <c r="D64" s="37">
        <f t="shared" si="64"/>
        <v>154.80000000000004</v>
      </c>
      <c r="E64" s="37">
        <f t="shared" si="64"/>
        <v>152.40000000000003</v>
      </c>
      <c r="F64" s="37">
        <f t="shared" si="64"/>
        <v>146.17000000000002</v>
      </c>
      <c r="G64" s="78">
        <f t="shared" si="64"/>
        <v>153.68000000000004</v>
      </c>
      <c r="H64" s="78">
        <f t="shared" si="64"/>
        <v>150.38000000000002</v>
      </c>
      <c r="I64" s="78">
        <f t="shared" si="64"/>
        <v>146.41000000000003</v>
      </c>
      <c r="J64" s="23">
        <f t="shared" si="64"/>
        <v>159.54068814250945</v>
      </c>
      <c r="K64" s="23">
        <f t="shared" si="64"/>
        <v>156.90068814250947</v>
      </c>
      <c r="L64" s="23">
        <f t="shared" si="64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65">P17+P22-P50+P21+P33</f>
        <v>159.6391883593104</v>
      </c>
      <c r="Q64" s="171">
        <f t="shared" si="65"/>
        <v>156.73918835931042</v>
      </c>
      <c r="R64" s="171">
        <f t="shared" si="65"/>
        <v>152.73918835931042</v>
      </c>
      <c r="S64" s="171">
        <f t="shared" si="65"/>
        <v>152.01000000000005</v>
      </c>
      <c r="T64" s="171">
        <f t="shared" si="65"/>
        <v>149.08000000000004</v>
      </c>
      <c r="U64" s="171">
        <f t="shared" si="65"/>
        <v>145.80000000000004</v>
      </c>
      <c r="V64" s="171">
        <f t="shared" ref="V64:AA64" si="66">V17+V22-V50+V21+V33</f>
        <v>159.23918835931039</v>
      </c>
      <c r="W64" s="171">
        <f t="shared" si="66"/>
        <v>156.2591883593104</v>
      </c>
      <c r="X64" s="171">
        <f t="shared" si="66"/>
        <v>152.76918835931039</v>
      </c>
      <c r="Y64" s="171">
        <f t="shared" si="66"/>
        <v>151.20000000000005</v>
      </c>
      <c r="Z64" s="171">
        <f t="shared" si="66"/>
        <v>148.20000000000005</v>
      </c>
      <c r="AA64" s="171">
        <f t="shared" si="66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G64" si="67">AE17+AE22-AE50+AE21+AE33</f>
        <v>150.70000000000005</v>
      </c>
      <c r="AF64" s="171">
        <f t="shared" si="67"/>
        <v>148.00000000000003</v>
      </c>
      <c r="AG64" s="171">
        <f t="shared" si="67"/>
        <v>144.80000000000004</v>
      </c>
      <c r="AH64" s="171">
        <f t="shared" ref="AE64:AI64" si="68">AH17+AH22-AH50+AH21+AH33</f>
        <v>152.20000000000005</v>
      </c>
      <c r="AI64" s="171">
        <f t="shared" si="68"/>
        <v>149.30000000000004</v>
      </c>
    </row>
    <row r="65" spans="1:3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3" t="s">
        <v>16</v>
      </c>
      <c r="AI65" s="193" t="s">
        <v>16</v>
      </c>
    </row>
  </sheetData>
  <mergeCells count="12">
    <mergeCell ref="AH1:AI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65"/>
  <sheetViews>
    <sheetView workbookViewId="0">
      <pane xSplit="1" ySplit="1" topLeftCell="AD54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5" width="15.6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6640625" style="2" customWidth="1"/>
    <col min="29" max="33" width="15.6640625" style="3" customWidth="1"/>
    <col min="34" max="34" width="15.6640625" style="2" customWidth="1"/>
    <col min="35" max="36" width="15.6640625" style="3" customWidth="1"/>
    <col min="37" max="37" width="15.6640625" style="194" customWidth="1"/>
    <col min="38" max="38" width="15.6640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125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  <c r="AH6" s="178">
        <v>10000000</v>
      </c>
      <c r="AI6" s="178">
        <v>2000000</v>
      </c>
      <c r="AJ6" s="178">
        <v>2000000</v>
      </c>
      <c r="AK6" s="164">
        <v>10000000</v>
      </c>
      <c r="AL6" s="164">
        <v>2000000</v>
      </c>
    </row>
    <row r="7" spans="1:38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  <c r="AH7" s="183" t="s">
        <v>16</v>
      </c>
      <c r="AI7" s="183" t="s">
        <v>16</v>
      </c>
      <c r="AJ7" s="183" t="s">
        <v>16</v>
      </c>
      <c r="AK7" s="191" t="s">
        <v>16</v>
      </c>
      <c r="AL7" s="191" t="s">
        <v>16</v>
      </c>
    </row>
    <row r="8" spans="1:38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  <c r="AH8" s="181">
        <v>0.1</v>
      </c>
      <c r="AI8" s="181">
        <v>0.1</v>
      </c>
      <c r="AJ8" s="181">
        <v>0.1</v>
      </c>
      <c r="AK8" s="192">
        <v>0.1</v>
      </c>
      <c r="AL8" s="192">
        <v>0.1</v>
      </c>
    </row>
    <row r="9" spans="1:3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ref="AE16:AL16" si="4">AH15+10*LOG10(AH4)</f>
        <v>44</v>
      </c>
      <c r="AI16" s="178">
        <f t="shared" si="4"/>
        <v>44</v>
      </c>
      <c r="AJ16" s="178">
        <f t="shared" si="4"/>
        <v>44</v>
      </c>
      <c r="AK16" s="164">
        <f t="shared" si="4"/>
        <v>44</v>
      </c>
      <c r="AL16" s="164">
        <f t="shared" si="4"/>
        <v>44</v>
      </c>
    </row>
    <row r="17" spans="1:38" ht="28">
      <c r="A17" s="8" t="s">
        <v>35</v>
      </c>
      <c r="B17" s="29">
        <f t="shared" ref="B17:L17" si="5">B15+10*LOG10(B42/1000000)</f>
        <v>47.80581786829169</v>
      </c>
      <c r="C17" s="29">
        <f t="shared" si="5"/>
        <v>41.57332496431269</v>
      </c>
      <c r="D17" s="29">
        <f t="shared" si="5"/>
        <v>41.57332496431269</v>
      </c>
      <c r="E17" s="29">
        <f t="shared" si="5"/>
        <v>43.47237607870666</v>
      </c>
      <c r="F17" s="29">
        <f t="shared" si="5"/>
        <v>35.997551772534749</v>
      </c>
      <c r="G17" s="73">
        <f t="shared" si="5"/>
        <v>42.57332496431269</v>
      </c>
      <c r="H17" s="73">
        <f t="shared" si="5"/>
        <v>36.638726768652234</v>
      </c>
      <c r="I17" s="73">
        <f t="shared" si="5"/>
        <v>36.638726768652234</v>
      </c>
      <c r="J17" s="13">
        <f t="shared" si="5"/>
        <v>48.816083660320572</v>
      </c>
      <c r="K17" s="13">
        <f t="shared" si="5"/>
        <v>42.365137424788934</v>
      </c>
      <c r="L17" s="13">
        <f t="shared" si="5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6">P15+10*LOG10(P42/1000000)</f>
        <v>52.924651478080435</v>
      </c>
      <c r="Q17" s="164">
        <f t="shared" si="6"/>
        <v>45.638726768652234</v>
      </c>
      <c r="R17" s="164">
        <f t="shared" si="6"/>
        <v>45.638726768652234</v>
      </c>
      <c r="S17" s="166">
        <f t="shared" si="6"/>
        <v>43.542425094393252</v>
      </c>
      <c r="T17" s="166">
        <f t="shared" si="6"/>
        <v>36.552725051033065</v>
      </c>
      <c r="U17" s="166">
        <f t="shared" si="6"/>
        <v>36.552725051033065</v>
      </c>
      <c r="V17" s="166">
        <f t="shared" ref="V17:AA17" si="7">V15+10*LOG10(V42/1000000)</f>
        <v>52.892717916416927</v>
      </c>
      <c r="W17" s="166">
        <f t="shared" si="7"/>
        <v>45.375437381428746</v>
      </c>
      <c r="X17" s="166">
        <f t="shared" si="7"/>
        <v>45.375437381428746</v>
      </c>
      <c r="Y17" s="166">
        <f t="shared" si="7"/>
        <v>42.57332496431269</v>
      </c>
      <c r="Z17" s="166">
        <f t="shared" si="7"/>
        <v>36.638726768652234</v>
      </c>
      <c r="AA17" s="166">
        <f t="shared" si="7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G17" si="8">AE15+10*LOG10(AE42/1000000)</f>
        <v>42.887409606828925</v>
      </c>
      <c r="AF17" s="164">
        <f t="shared" si="8"/>
        <v>35.897709563468737</v>
      </c>
      <c r="AG17" s="164">
        <f t="shared" si="8"/>
        <v>35.897709563468737</v>
      </c>
      <c r="AH17" s="178">
        <f t="shared" ref="AE17:AL17" si="9">AH15+10*LOG10(AH42/1000000)</f>
        <v>43.507541815935035</v>
      </c>
      <c r="AI17" s="178">
        <f t="shared" si="9"/>
        <v>36.638726768652234</v>
      </c>
      <c r="AJ17" s="178">
        <f t="shared" si="9"/>
        <v>36.638726768652234</v>
      </c>
      <c r="AK17" s="164">
        <f t="shared" si="9"/>
        <v>42.57332496431269</v>
      </c>
      <c r="AL17" s="164">
        <f t="shared" si="9"/>
        <v>36.638726768652234</v>
      </c>
    </row>
    <row r="18" spans="1:38" ht="42">
      <c r="A18" s="15" t="s">
        <v>37</v>
      </c>
      <c r="B18" s="29">
        <f t="shared" ref="B18:L18" si="10">B19+10*LOG10(B12/B13)-B20</f>
        <v>12.771212547196624</v>
      </c>
      <c r="C18" s="29">
        <f t="shared" si="10"/>
        <v>12.771212547196624</v>
      </c>
      <c r="D18" s="29">
        <f t="shared" si="10"/>
        <v>12.771212547196624</v>
      </c>
      <c r="E18" s="29">
        <f t="shared" si="10"/>
        <v>9.8212125471966232</v>
      </c>
      <c r="F18" s="29">
        <f t="shared" si="10"/>
        <v>9.8212125471966232</v>
      </c>
      <c r="G18" s="73">
        <f t="shared" si="10"/>
        <v>12.771212547196624</v>
      </c>
      <c r="H18" s="73">
        <f t="shared" si="10"/>
        <v>12.771212547196624</v>
      </c>
      <c r="I18" s="73">
        <f t="shared" si="10"/>
        <v>12.771212547196624</v>
      </c>
      <c r="J18" s="13">
        <f t="shared" si="10"/>
        <v>10.121212547196624</v>
      </c>
      <c r="K18" s="13">
        <f t="shared" si="10"/>
        <v>10.121212547196624</v>
      </c>
      <c r="L18" s="13">
        <f t="shared" si="10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11">P19+10*LOG10(P12/P13)-P20</f>
        <v>12.771212547196624</v>
      </c>
      <c r="Q18" s="164">
        <f t="shared" si="11"/>
        <v>12.771212547196624</v>
      </c>
      <c r="R18" s="164">
        <f t="shared" si="11"/>
        <v>12.771212547196624</v>
      </c>
      <c r="S18" s="166">
        <f t="shared" si="11"/>
        <v>12.771212547196624</v>
      </c>
      <c r="T18" s="166">
        <f t="shared" si="11"/>
        <v>12.771212547196624</v>
      </c>
      <c r="U18" s="166">
        <f t="shared" si="11"/>
        <v>12.771212547196624</v>
      </c>
      <c r="V18" s="166">
        <f t="shared" ref="V18:AA18" si="12">V19+10*LOG10(V12/V13)-V20</f>
        <v>12.771212547196624</v>
      </c>
      <c r="W18" s="166">
        <f t="shared" si="12"/>
        <v>12.771212547196624</v>
      </c>
      <c r="X18" s="166">
        <f t="shared" si="12"/>
        <v>12.771212547196624</v>
      </c>
      <c r="Y18" s="166">
        <f t="shared" si="12"/>
        <v>12.771212547196624</v>
      </c>
      <c r="Z18" s="166">
        <f t="shared" si="12"/>
        <v>12.771212547196624</v>
      </c>
      <c r="AA18" s="166">
        <f t="shared" si="12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3">AE19+10*LOG10(AE12/AE13)-AE20</f>
        <v>12.771212547196624</v>
      </c>
      <c r="AF18" s="164">
        <f t="shared" si="13"/>
        <v>12.771212547196624</v>
      </c>
      <c r="AG18" s="164">
        <f t="shared" si="13"/>
        <v>12.771212547196624</v>
      </c>
      <c r="AH18" s="178">
        <f t="shared" ref="AE18:AL18" si="14">AH19+10*LOG10(AH12/AH13)-AH20</f>
        <v>12.771212547196624</v>
      </c>
      <c r="AI18" s="178">
        <f t="shared" si="14"/>
        <v>12.771212547196624</v>
      </c>
      <c r="AJ18" s="178">
        <f t="shared" si="14"/>
        <v>12.771212547196624</v>
      </c>
      <c r="AK18" s="164">
        <f t="shared" si="14"/>
        <v>9.2312125471966233</v>
      </c>
      <c r="AL18" s="164">
        <f t="shared" si="14"/>
        <v>9.2312125471966233</v>
      </c>
    </row>
    <row r="19" spans="1:38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3.54</v>
      </c>
      <c r="AL20" s="163">
        <v>3.54</v>
      </c>
    </row>
    <row r="21" spans="1:38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5">10*LOG10(K13/K14)</f>
        <v>15.051499783199061</v>
      </c>
      <c r="L21" s="17">
        <f t="shared" si="15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82">
        <v>12</v>
      </c>
      <c r="AI21" s="182">
        <v>12</v>
      </c>
      <c r="AJ21" s="182">
        <v>12</v>
      </c>
      <c r="AK21" s="169">
        <v>12</v>
      </c>
      <c r="AL21" s="169">
        <v>12</v>
      </c>
    </row>
    <row r="22" spans="1:38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  <c r="AH25" s="183" t="s">
        <v>16</v>
      </c>
      <c r="AI25" s="183" t="s">
        <v>16</v>
      </c>
      <c r="AJ25" s="183" t="s">
        <v>16</v>
      </c>
      <c r="AK25" s="191" t="s">
        <v>16</v>
      </c>
      <c r="AL25" s="191" t="s">
        <v>16</v>
      </c>
    </row>
    <row r="26" spans="1:38">
      <c r="A26" s="8" t="s">
        <v>51</v>
      </c>
      <c r="B26" s="29">
        <f t="shared" ref="B26:L26" si="16">B17+B18+B21-B23-B24</f>
        <v>69.577030415488309</v>
      </c>
      <c r="C26" s="29">
        <f t="shared" si="16"/>
        <v>63.344537511509316</v>
      </c>
      <c r="D26" s="29">
        <f t="shared" si="16"/>
        <v>63.344537511509316</v>
      </c>
      <c r="E26" s="29">
        <f t="shared" si="16"/>
        <v>62.333588625903275</v>
      </c>
      <c r="F26" s="29">
        <f t="shared" si="16"/>
        <v>54.858764319731371</v>
      </c>
      <c r="G26" s="73">
        <f t="shared" si="16"/>
        <v>64.344537511509316</v>
      </c>
      <c r="H26" s="73">
        <f t="shared" si="16"/>
        <v>58.40993931584886</v>
      </c>
      <c r="I26" s="73">
        <f t="shared" si="16"/>
        <v>58.40993931584886</v>
      </c>
      <c r="J26" s="13">
        <f t="shared" si="16"/>
        <v>70.988795990716255</v>
      </c>
      <c r="K26" s="13">
        <f t="shared" si="16"/>
        <v>64.537849755184624</v>
      </c>
      <c r="L26" s="13">
        <f t="shared" si="16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7">P17+P18+P21-P23-P24</f>
        <v>77.745864025277058</v>
      </c>
      <c r="Q26" s="164">
        <f t="shared" si="17"/>
        <v>70.459939315848857</v>
      </c>
      <c r="R26" s="164">
        <f t="shared" si="17"/>
        <v>70.459939315848857</v>
      </c>
      <c r="S26" s="166">
        <f t="shared" si="17"/>
        <v>65.313637641589878</v>
      </c>
      <c r="T26" s="166">
        <f t="shared" si="17"/>
        <v>58.323937598229691</v>
      </c>
      <c r="U26" s="166">
        <f t="shared" si="17"/>
        <v>58.323937598229691</v>
      </c>
      <c r="V26" s="166">
        <f t="shared" ref="V26:AA26" si="18">V17+V18+V21-V23-V24</f>
        <v>74.663930463613553</v>
      </c>
      <c r="W26" s="166">
        <f t="shared" si="18"/>
        <v>67.146649928625379</v>
      </c>
      <c r="X26" s="166">
        <f t="shared" si="18"/>
        <v>67.146649928625379</v>
      </c>
      <c r="Y26" s="166">
        <f t="shared" si="18"/>
        <v>64.344537511509316</v>
      </c>
      <c r="Z26" s="166">
        <f t="shared" si="18"/>
        <v>58.40993931584886</v>
      </c>
      <c r="AA26" s="166">
        <f t="shared" si="18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G26" si="19">AE17+AE18+AE21-AE23-AE24</f>
        <v>64.658622154025551</v>
      </c>
      <c r="AF26" s="164">
        <f t="shared" si="19"/>
        <v>57.668922110665363</v>
      </c>
      <c r="AG26" s="164">
        <f t="shared" si="19"/>
        <v>57.668922110665363</v>
      </c>
      <c r="AH26" s="178">
        <f t="shared" ref="AE26:AL26" si="20">AH17+AH18+AH21-AH23-AH24</f>
        <v>65.278754363131668</v>
      </c>
      <c r="AI26" s="178">
        <f t="shared" si="20"/>
        <v>58.40993931584886</v>
      </c>
      <c r="AJ26" s="178">
        <f t="shared" si="20"/>
        <v>58.40993931584886</v>
      </c>
      <c r="AK26" s="164">
        <f t="shared" si="20"/>
        <v>60.804537511509309</v>
      </c>
      <c r="AL26" s="164">
        <f t="shared" si="20"/>
        <v>54.869939315848853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42">
      <c r="A30" s="8" t="s">
        <v>56</v>
      </c>
      <c r="B30" s="29">
        <f t="shared" ref="B30:L30" si="21">B31+10*LOG10(B28/B29)-B32</f>
        <v>0</v>
      </c>
      <c r="C30" s="29">
        <f t="shared" si="21"/>
        <v>-3</v>
      </c>
      <c r="D30" s="29">
        <f t="shared" si="21"/>
        <v>-3</v>
      </c>
      <c r="E30" s="29">
        <f t="shared" si="21"/>
        <v>0</v>
      </c>
      <c r="F30" s="29">
        <f t="shared" si="21"/>
        <v>-3</v>
      </c>
      <c r="G30" s="73">
        <f t="shared" si="21"/>
        <v>0</v>
      </c>
      <c r="H30" s="73">
        <f t="shared" si="21"/>
        <v>-3</v>
      </c>
      <c r="I30" s="73">
        <f t="shared" si="21"/>
        <v>-3</v>
      </c>
      <c r="J30" s="13">
        <f t="shared" si="21"/>
        <v>0</v>
      </c>
      <c r="K30" s="13">
        <f t="shared" si="21"/>
        <v>-3</v>
      </c>
      <c r="L30" s="13">
        <f t="shared" si="21"/>
        <v>-3</v>
      </c>
      <c r="M30" s="116">
        <v>0</v>
      </c>
      <c r="N30" s="116">
        <v>-3</v>
      </c>
      <c r="O30" s="116">
        <v>-3</v>
      </c>
      <c r="P30" s="164">
        <f t="shared" ref="P30:U30" si="22">P31+10*LOG10(P28/P29)-P32</f>
        <v>0</v>
      </c>
      <c r="Q30" s="164">
        <f t="shared" si="22"/>
        <v>-3</v>
      </c>
      <c r="R30" s="164">
        <f t="shared" si="22"/>
        <v>-3</v>
      </c>
      <c r="S30" s="166">
        <f t="shared" si="22"/>
        <v>0</v>
      </c>
      <c r="T30" s="166">
        <f t="shared" si="22"/>
        <v>-3</v>
      </c>
      <c r="U30" s="166">
        <f t="shared" si="22"/>
        <v>-3</v>
      </c>
      <c r="V30" s="166">
        <f t="shared" ref="V30:AA30" si="23">V31+10*LOG10(V28/V29)-V32</f>
        <v>0</v>
      </c>
      <c r="W30" s="166">
        <f t="shared" si="23"/>
        <v>-3</v>
      </c>
      <c r="X30" s="166">
        <f t="shared" si="23"/>
        <v>-3</v>
      </c>
      <c r="Y30" s="166">
        <f t="shared" si="23"/>
        <v>0</v>
      </c>
      <c r="Z30" s="166">
        <f t="shared" si="23"/>
        <v>-3</v>
      </c>
      <c r="AA30" s="166">
        <f t="shared" si="23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4">AE31+10*LOG10(AE28/AE29)-AE32</f>
        <v>0</v>
      </c>
      <c r="AF30" s="164">
        <f t="shared" si="24"/>
        <v>-3</v>
      </c>
      <c r="AG30" s="164">
        <f t="shared" si="24"/>
        <v>-3</v>
      </c>
      <c r="AH30" s="178">
        <f t="shared" ref="AE30:AL30" si="25">AH31+10*LOG10(AH28/AH29)-AH32</f>
        <v>0</v>
      </c>
      <c r="AI30" s="178">
        <f t="shared" si="25"/>
        <v>-3</v>
      </c>
      <c r="AJ30" s="178">
        <f t="shared" si="25"/>
        <v>-3</v>
      </c>
      <c r="AK30" s="164">
        <f t="shared" si="25"/>
        <v>0</v>
      </c>
      <c r="AL30" s="164">
        <f t="shared" si="25"/>
        <v>-3</v>
      </c>
    </row>
    <row r="31" spans="1:38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  <c r="AH37" s="178" t="s">
        <v>16</v>
      </c>
      <c r="AI37" s="178" t="s">
        <v>16</v>
      </c>
      <c r="AJ37" s="178" t="s">
        <v>16</v>
      </c>
      <c r="AK37" s="164" t="s">
        <v>16</v>
      </c>
      <c r="AL37" s="164" t="s">
        <v>16</v>
      </c>
    </row>
    <row r="38" spans="1:38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  <c r="AH38" s="186">
        <v>-164.99</v>
      </c>
      <c r="AI38" s="186">
        <v>-164.99</v>
      </c>
      <c r="AJ38" s="186">
        <v>-164.99</v>
      </c>
      <c r="AK38" s="163">
        <v>-999</v>
      </c>
      <c r="AL38" s="163">
        <v>-999</v>
      </c>
    </row>
    <row r="39" spans="1:38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  <c r="AH39" s="183" t="s">
        <v>16</v>
      </c>
      <c r="AI39" s="183" t="s">
        <v>16</v>
      </c>
      <c r="AJ39" s="183" t="s">
        <v>16</v>
      </c>
      <c r="AK39" s="191" t="s">
        <v>16</v>
      </c>
      <c r="AL39" s="191" t="s">
        <v>16</v>
      </c>
    </row>
    <row r="40" spans="1:38" ht="28">
      <c r="A40" s="8" t="s">
        <v>107</v>
      </c>
      <c r="B40" s="29">
        <f t="shared" ref="B40:L40" si="26">10*LOG10(10^((B35+B36)/10)+10^(B38/10))</f>
        <v>-167.00000000000003</v>
      </c>
      <c r="C40" s="29">
        <f t="shared" si="26"/>
        <v>-167.00000000000003</v>
      </c>
      <c r="D40" s="29">
        <f t="shared" si="26"/>
        <v>-167.00000000000003</v>
      </c>
      <c r="E40" s="29">
        <f t="shared" si="26"/>
        <v>-167.00000000000003</v>
      </c>
      <c r="F40" s="29">
        <f t="shared" si="26"/>
        <v>-167.00000000000003</v>
      </c>
      <c r="G40" s="73">
        <f t="shared" si="26"/>
        <v>-167.00000000000003</v>
      </c>
      <c r="H40" s="73">
        <f t="shared" si="26"/>
        <v>-167.00000000000003</v>
      </c>
      <c r="I40" s="73">
        <f t="shared" si="26"/>
        <v>-167.00000000000003</v>
      </c>
      <c r="J40" s="13">
        <f t="shared" si="26"/>
        <v>-164.98918835931039</v>
      </c>
      <c r="K40" s="13">
        <f t="shared" si="26"/>
        <v>-164.98918835931039</v>
      </c>
      <c r="L40" s="13">
        <f t="shared" si="26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7">10*LOG10(10^((P35+P36)/10)+10^(P38/10))</f>
        <v>-164.98918835931039</v>
      </c>
      <c r="Q40" s="164">
        <f t="shared" si="27"/>
        <v>-164.98918835931039</v>
      </c>
      <c r="R40" s="164">
        <f t="shared" si="27"/>
        <v>-164.98918835931039</v>
      </c>
      <c r="S40" s="166">
        <f t="shared" si="27"/>
        <v>-167.00000000000003</v>
      </c>
      <c r="T40" s="166">
        <f t="shared" si="27"/>
        <v>-167.00000000000003</v>
      </c>
      <c r="U40" s="166">
        <f t="shared" si="27"/>
        <v>-167.00000000000003</v>
      </c>
      <c r="V40" s="166">
        <f t="shared" ref="V40:AA40" si="28">10*LOG10(10^((V35+V36)/10)+10^(V38/10))</f>
        <v>-164.98918835931039</v>
      </c>
      <c r="W40" s="166">
        <f t="shared" si="28"/>
        <v>-164.98918835931039</v>
      </c>
      <c r="X40" s="166">
        <f t="shared" si="28"/>
        <v>-164.98918835931039</v>
      </c>
      <c r="Y40" s="166">
        <f t="shared" si="28"/>
        <v>-167.00000000000003</v>
      </c>
      <c r="Z40" s="166">
        <f t="shared" si="28"/>
        <v>-167.00000000000003</v>
      </c>
      <c r="AA40" s="166">
        <f t="shared" si="28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G40" si="29">10*LOG10(10^((AE35+AE36)/10)+10^(AE38/10))</f>
        <v>-167.00000000000003</v>
      </c>
      <c r="AF40" s="164">
        <f t="shared" si="29"/>
        <v>-167.00000000000003</v>
      </c>
      <c r="AG40" s="164">
        <f t="shared" si="29"/>
        <v>-167.00000000000003</v>
      </c>
      <c r="AH40" s="178">
        <f t="shared" ref="AE40:AL40" si="30">10*LOG10(10^((AH35+AH36)/10)+10^(AH38/10))</f>
        <v>-162.86943987346325</v>
      </c>
      <c r="AI40" s="178">
        <f t="shared" si="30"/>
        <v>-162.86943987346325</v>
      </c>
      <c r="AJ40" s="178">
        <f t="shared" si="30"/>
        <v>-162.86943987346325</v>
      </c>
      <c r="AK40" s="164">
        <f t="shared" si="30"/>
        <v>-167.00000000000003</v>
      </c>
      <c r="AL40" s="164">
        <f t="shared" si="30"/>
        <v>-167.00000000000003</v>
      </c>
    </row>
    <row r="41" spans="1:38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  <c r="AH41" s="178" t="s">
        <v>16</v>
      </c>
      <c r="AI41" s="178" t="s">
        <v>16</v>
      </c>
      <c r="AJ41" s="178" t="s">
        <v>16</v>
      </c>
      <c r="AK41" s="164" t="s">
        <v>16</v>
      </c>
      <c r="AL41" s="164" t="s">
        <v>16</v>
      </c>
    </row>
    <row r="42" spans="1:38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215*360*1000</f>
        <v>77400000</v>
      </c>
      <c r="AF42" s="169">
        <f>43*360*1000</f>
        <v>15480000</v>
      </c>
      <c r="AG42" s="169">
        <f>43*360*1000</f>
        <v>15480000</v>
      </c>
      <c r="AH42" s="182">
        <f>248*360*1000</f>
        <v>89280000</v>
      </c>
      <c r="AI42" s="182">
        <f>51*360*1000</f>
        <v>18360000</v>
      </c>
      <c r="AJ42" s="182">
        <f>51*360*1000</f>
        <v>18360000</v>
      </c>
      <c r="AK42" s="169">
        <f>200*360*1000</f>
        <v>72000000</v>
      </c>
      <c r="AL42" s="169">
        <f>51*360*1000</f>
        <v>18360000</v>
      </c>
    </row>
    <row r="43" spans="1:38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  <c r="AH43" s="178" t="s">
        <v>16</v>
      </c>
      <c r="AI43" s="178" t="s">
        <v>16</v>
      </c>
      <c r="AJ43" s="178" t="s">
        <v>16</v>
      </c>
      <c r="AK43" s="164" t="s">
        <v>16</v>
      </c>
      <c r="AL43" s="164" t="s">
        <v>16</v>
      </c>
    </row>
    <row r="44" spans="1:38">
      <c r="A44" s="8" t="s">
        <v>72</v>
      </c>
      <c r="B44" s="29">
        <f t="shared" ref="B44:L44" si="31">B40+10*LOG10(B42)</f>
        <v>-92.194182131708345</v>
      </c>
      <c r="C44" s="29">
        <f t="shared" si="31"/>
        <v>-98.426675035687353</v>
      </c>
      <c r="D44" s="29">
        <f t="shared" si="31"/>
        <v>-98.426675035687353</v>
      </c>
      <c r="E44" s="29">
        <f t="shared" si="31"/>
        <v>-87.527623921293369</v>
      </c>
      <c r="F44" s="29">
        <f t="shared" si="31"/>
        <v>-95.00244822746528</v>
      </c>
      <c r="G44" s="73">
        <f t="shared" si="31"/>
        <v>-88.426675035687353</v>
      </c>
      <c r="H44" s="73">
        <f t="shared" si="31"/>
        <v>-94.361273231347795</v>
      </c>
      <c r="I44" s="73">
        <f t="shared" si="31"/>
        <v>-94.361273231347795</v>
      </c>
      <c r="J44" s="13">
        <f t="shared" si="31"/>
        <v>-89.173104698989818</v>
      </c>
      <c r="K44" s="13">
        <f t="shared" si="31"/>
        <v>-95.624050934521463</v>
      </c>
      <c r="L44" s="13">
        <f t="shared" si="31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32">P40+10*LOG10(P42)</f>
        <v>-85.064536881229955</v>
      </c>
      <c r="Q44" s="164">
        <f t="shared" si="32"/>
        <v>-92.350461590658156</v>
      </c>
      <c r="R44" s="164">
        <f t="shared" si="32"/>
        <v>-92.350461590658156</v>
      </c>
      <c r="S44" s="166">
        <f t="shared" si="32"/>
        <v>-87.457574905606776</v>
      </c>
      <c r="T44" s="166">
        <f t="shared" si="32"/>
        <v>-94.447274948966964</v>
      </c>
      <c r="U44" s="166">
        <f t="shared" si="32"/>
        <v>-94.447274948966964</v>
      </c>
      <c r="V44" s="166">
        <f t="shared" ref="V44:AA44" si="33">V40+10*LOG10(V42)</f>
        <v>-85.096470442893462</v>
      </c>
      <c r="W44" s="166">
        <f t="shared" si="33"/>
        <v>-92.613750977881651</v>
      </c>
      <c r="X44" s="166">
        <f t="shared" si="33"/>
        <v>-92.613750977881651</v>
      </c>
      <c r="Y44" s="166">
        <f t="shared" si="33"/>
        <v>-88.426675035687353</v>
      </c>
      <c r="Z44" s="166">
        <f t="shared" si="33"/>
        <v>-94.361273231347795</v>
      </c>
      <c r="AA44" s="166">
        <f t="shared" si="33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G44" si="34">AE40+10*LOG10(AE42)</f>
        <v>-88.112590393171104</v>
      </c>
      <c r="AF44" s="164">
        <f t="shared" si="34"/>
        <v>-95.102290436531291</v>
      </c>
      <c r="AG44" s="164">
        <f t="shared" si="34"/>
        <v>-95.102290436531291</v>
      </c>
      <c r="AH44" s="178">
        <f t="shared" ref="AE44:AL44" si="35">AH40+10*LOG10(AH42)</f>
        <v>-83.361898057528208</v>
      </c>
      <c r="AI44" s="178">
        <f t="shared" si="35"/>
        <v>-90.230713104811016</v>
      </c>
      <c r="AJ44" s="178">
        <f t="shared" si="35"/>
        <v>-90.230713104811016</v>
      </c>
      <c r="AK44" s="164">
        <f t="shared" si="35"/>
        <v>-88.426675035687353</v>
      </c>
      <c r="AL44" s="164">
        <f t="shared" si="35"/>
        <v>-94.361273231347795</v>
      </c>
    </row>
    <row r="45" spans="1:38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  <c r="AH45" s="178" t="s">
        <v>16</v>
      </c>
      <c r="AI45" s="178" t="s">
        <v>16</v>
      </c>
      <c r="AJ45" s="178" t="s">
        <v>16</v>
      </c>
      <c r="AK45" s="164" t="s">
        <v>16</v>
      </c>
      <c r="AL45" s="164" t="s">
        <v>16</v>
      </c>
    </row>
    <row r="46" spans="1:38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-7.36</v>
      </c>
      <c r="AF46" s="169">
        <v>-4.53</v>
      </c>
      <c r="AG46" s="169">
        <v>-1.46</v>
      </c>
      <c r="AH46" s="182">
        <v>-5.7</v>
      </c>
      <c r="AI46" s="182">
        <v>-3</v>
      </c>
      <c r="AJ46" s="182">
        <v>0.2</v>
      </c>
      <c r="AK46" s="169">
        <v>-6.5</v>
      </c>
      <c r="AL46" s="169">
        <v>-3.3</v>
      </c>
    </row>
    <row r="47" spans="1:38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  <c r="AH48" s="178" t="s">
        <v>16</v>
      </c>
      <c r="AI48" s="178" t="s">
        <v>16</v>
      </c>
      <c r="AJ48" s="178" t="s">
        <v>16</v>
      </c>
      <c r="AK48" s="164" t="s">
        <v>16</v>
      </c>
      <c r="AL48" s="164" t="s">
        <v>16</v>
      </c>
    </row>
    <row r="49" spans="1:38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  <c r="AH49" s="178">
        <v>0</v>
      </c>
      <c r="AI49" s="178">
        <v>0</v>
      </c>
      <c r="AJ49" s="178">
        <v>0</v>
      </c>
      <c r="AK49" s="164">
        <v>0</v>
      </c>
      <c r="AL49" s="164">
        <v>0</v>
      </c>
    </row>
    <row r="50" spans="1:38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  <c r="AH50" s="183" t="s">
        <v>16</v>
      </c>
      <c r="AI50" s="183" t="s">
        <v>16</v>
      </c>
      <c r="AJ50" s="183" t="s">
        <v>16</v>
      </c>
      <c r="AK50" s="191" t="s">
        <v>16</v>
      </c>
      <c r="AL50" s="191" t="s">
        <v>16</v>
      </c>
    </row>
    <row r="51" spans="1:38" ht="28">
      <c r="A51" s="8" t="s">
        <v>82</v>
      </c>
      <c r="B51" s="29">
        <f t="shared" ref="B51:L51" si="36">B44+B46+B47-B49</f>
        <v>-93.994182131708342</v>
      </c>
      <c r="C51" s="29">
        <f t="shared" si="36"/>
        <v>-97.526675035687347</v>
      </c>
      <c r="D51" s="29">
        <f t="shared" si="36"/>
        <v>-92.826675035687359</v>
      </c>
      <c r="E51" s="29">
        <f t="shared" si="36"/>
        <v>-95.957623921293361</v>
      </c>
      <c r="F51" s="29">
        <f t="shared" si="36"/>
        <v>-100.76244822746528</v>
      </c>
      <c r="G51" s="73">
        <f t="shared" si="36"/>
        <v>-95.516675035687356</v>
      </c>
      <c r="H51" s="73">
        <f t="shared" si="36"/>
        <v>-100.10127323134779</v>
      </c>
      <c r="I51" s="73">
        <f t="shared" si="36"/>
        <v>-97.511273231347801</v>
      </c>
      <c r="J51" s="13">
        <f t="shared" si="36"/>
        <v>-91.87310469898982</v>
      </c>
      <c r="K51" s="13">
        <f t="shared" si="36"/>
        <v>-94.704050934521462</v>
      </c>
      <c r="L51" s="13">
        <f t="shared" si="36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7">P44+P46+P47-P49</f>
        <v>-88.564536881229955</v>
      </c>
      <c r="Q51" s="164">
        <f t="shared" si="37"/>
        <v>-92.150461590658153</v>
      </c>
      <c r="R51" s="164">
        <f t="shared" si="37"/>
        <v>-88.350461590658156</v>
      </c>
      <c r="S51" s="166">
        <f t="shared" si="37"/>
        <v>-93.207574905606776</v>
      </c>
      <c r="T51" s="166">
        <f t="shared" si="37"/>
        <v>-96.457274948966969</v>
      </c>
      <c r="U51" s="166">
        <f t="shared" si="37"/>
        <v>-92.447274948966964</v>
      </c>
      <c r="V51" s="166">
        <f t="shared" ref="V51:AA51" si="38">V44+V46+V47-V49</f>
        <v>-90.566470442893461</v>
      </c>
      <c r="W51" s="166">
        <f t="shared" si="38"/>
        <v>-93.753750977881651</v>
      </c>
      <c r="X51" s="166">
        <f t="shared" si="38"/>
        <v>-89.913750977881648</v>
      </c>
      <c r="Y51" s="166">
        <f t="shared" si="38"/>
        <v>-94.426675035687353</v>
      </c>
      <c r="Z51" s="166">
        <f t="shared" si="38"/>
        <v>-97.361273231347795</v>
      </c>
      <c r="AA51" s="166">
        <f t="shared" si="38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G51" si="39">AE44+AE46+AE47-AE49</f>
        <v>-93.472590393171103</v>
      </c>
      <c r="AF51" s="164">
        <f t="shared" si="39"/>
        <v>-97.632290436531292</v>
      </c>
      <c r="AG51" s="164">
        <f t="shared" si="39"/>
        <v>-94.562290436531285</v>
      </c>
      <c r="AH51" s="178">
        <f t="shared" ref="AE51:AL51" si="40">AH44+AH46+AH47-AH49</f>
        <v>-87.061898057528211</v>
      </c>
      <c r="AI51" s="178">
        <f t="shared" si="40"/>
        <v>-91.230713104811016</v>
      </c>
      <c r="AJ51" s="178">
        <f t="shared" si="40"/>
        <v>-88.030713104811014</v>
      </c>
      <c r="AK51" s="164">
        <f t="shared" si="40"/>
        <v>-92.926675035687353</v>
      </c>
      <c r="AL51" s="164">
        <f t="shared" si="40"/>
        <v>-95.661273231347792</v>
      </c>
    </row>
    <row r="52" spans="1:38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  <c r="AH52" s="195" t="s">
        <v>16</v>
      </c>
      <c r="AI52" s="195" t="s">
        <v>16</v>
      </c>
      <c r="AJ52" s="195" t="s">
        <v>16</v>
      </c>
      <c r="AK52" s="193" t="s">
        <v>16</v>
      </c>
      <c r="AL52" s="193" t="s">
        <v>16</v>
      </c>
    </row>
    <row r="53" spans="1:38" ht="28">
      <c r="A53" s="22" t="s">
        <v>85</v>
      </c>
      <c r="B53" s="37">
        <f t="shared" ref="B53:G53" si="41">B26+B30+B33-B34-B51</f>
        <v>162.57121254719664</v>
      </c>
      <c r="C53" s="37">
        <f t="shared" si="41"/>
        <v>156.87121254719665</v>
      </c>
      <c r="D53" s="37">
        <f t="shared" si="41"/>
        <v>152.17121254719666</v>
      </c>
      <c r="E53" s="37">
        <f t="shared" si="41"/>
        <v>157.29121254719664</v>
      </c>
      <c r="F53" s="37">
        <f t="shared" si="41"/>
        <v>151.62121254719665</v>
      </c>
      <c r="G53" s="78">
        <f t="shared" si="41"/>
        <v>158.86121254719666</v>
      </c>
      <c r="H53" s="78">
        <f t="shared" ref="H53:L53" si="42">H26+H30+H33-H34-H51</f>
        <v>154.51121254719664</v>
      </c>
      <c r="I53" s="78">
        <f t="shared" si="42"/>
        <v>151.92121254719666</v>
      </c>
      <c r="J53" s="23">
        <f t="shared" si="42"/>
        <v>161.86190068970609</v>
      </c>
      <c r="K53" s="23">
        <f t="shared" si="42"/>
        <v>155.24190068970609</v>
      </c>
      <c r="L53" s="23">
        <f t="shared" si="42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43">Q26+Q30+Q33-Q34-Q51</f>
        <v>158.61040090650701</v>
      </c>
      <c r="R53" s="171">
        <f t="shared" si="43"/>
        <v>154.81040090650703</v>
      </c>
      <c r="S53" s="171">
        <f>S26+S30+S33-S34-S51</f>
        <v>157.52121254719665</v>
      </c>
      <c r="T53" s="171">
        <f t="shared" ref="T53:U53" si="44">T26+T30+T33-T34-T51</f>
        <v>150.78121254719667</v>
      </c>
      <c r="U53" s="171">
        <f t="shared" si="44"/>
        <v>146.77121254719665</v>
      </c>
      <c r="V53" s="171">
        <f>V26+V30+V33-V34-V51</f>
        <v>164.23040090650701</v>
      </c>
      <c r="W53" s="171">
        <f t="shared" ref="W53:X53" si="45">W26+W30+W33-W34-W51</f>
        <v>156.90040090650703</v>
      </c>
      <c r="X53" s="171">
        <f t="shared" si="45"/>
        <v>153.06040090650703</v>
      </c>
      <c r="Y53" s="171">
        <f>Y26+Y30+Y33-Y34-Y51</f>
        <v>157.77121254719668</v>
      </c>
      <c r="Z53" s="171">
        <f t="shared" ref="Z53:AA53" si="46">Z26+Z30+Z33-Z34-Z51</f>
        <v>151.77121254719665</v>
      </c>
      <c r="AA53" s="171">
        <f t="shared" si="46"/>
        <v>148.77121254719665</v>
      </c>
      <c r="AB53" s="179">
        <f>AB26+AB30+AB33-AB34-AB51</f>
        <v>149.67121254719666</v>
      </c>
      <c r="AC53" s="179">
        <f t="shared" ref="AC53:AD53" si="47">AC26+AC30+AC33-AC34-AC51</f>
        <v>143.47121254719667</v>
      </c>
      <c r="AD53" s="179">
        <f t="shared" si="47"/>
        <v>139.77121254719665</v>
      </c>
      <c r="AE53" s="171">
        <f>AE26+AE30+AE33-AE34-AE51</f>
        <v>157.13121254719664</v>
      </c>
      <c r="AF53" s="171">
        <f t="shared" ref="AF53:AG53" si="48">AF26+AF30+AF33-AF34-AF51</f>
        <v>151.30121254719666</v>
      </c>
      <c r="AG53" s="171">
        <f t="shared" si="48"/>
        <v>148.23121254719666</v>
      </c>
      <c r="AH53" s="179">
        <f>AH26+AH30+AH33-AH34-AH51</f>
        <v>151.34065242065986</v>
      </c>
      <c r="AI53" s="179">
        <f t="shared" ref="AI53:AJ53" si="49">AI26+AI30+AI33-AI34-AI51</f>
        <v>145.64065242065988</v>
      </c>
      <c r="AJ53" s="179">
        <f t="shared" si="49"/>
        <v>142.44065242065989</v>
      </c>
      <c r="AK53" s="171">
        <f>AK26+AK30+AK33-AK34-AK51</f>
        <v>152.73121254719666</v>
      </c>
      <c r="AL53" s="171">
        <f t="shared" ref="AL53" si="50">AL26+AL30+AL33-AL34-AL51</f>
        <v>146.53121254719665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  <c r="AH56" s="183" t="s">
        <v>16</v>
      </c>
      <c r="AI56" s="183" t="s">
        <v>16</v>
      </c>
      <c r="AJ56" s="183" t="s">
        <v>16</v>
      </c>
      <c r="AK56" s="191" t="s">
        <v>16</v>
      </c>
      <c r="AL56" s="191" t="s">
        <v>16</v>
      </c>
    </row>
    <row r="57" spans="1:38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  <c r="AH57" s="186">
        <v>4.4800000000000004</v>
      </c>
      <c r="AI57" s="186">
        <v>4.4800000000000004</v>
      </c>
      <c r="AJ57" s="186">
        <v>4.4800000000000004</v>
      </c>
      <c r="AK57" s="163">
        <v>4.4800000000000004</v>
      </c>
      <c r="AL57" s="163">
        <v>4.4800000000000004</v>
      </c>
    </row>
    <row r="58" spans="1:38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  <c r="AH61" s="195" t="s">
        <v>16</v>
      </c>
      <c r="AI61" s="195" t="s">
        <v>16</v>
      </c>
      <c r="AJ61" s="195" t="s">
        <v>16</v>
      </c>
      <c r="AK61" s="193" t="s">
        <v>16</v>
      </c>
      <c r="AL61" s="193" t="s">
        <v>16</v>
      </c>
    </row>
    <row r="62" spans="1:38" ht="28">
      <c r="A62" s="22" t="s">
        <v>109</v>
      </c>
      <c r="B62" s="37">
        <f t="shared" ref="B62:G62" si="51">B53-B57+B58-B59+B60</f>
        <v>131.84121254719665</v>
      </c>
      <c r="C62" s="37">
        <f t="shared" si="51"/>
        <v>126.14121254719666</v>
      </c>
      <c r="D62" s="37">
        <f t="shared" si="51"/>
        <v>121.44121254719667</v>
      </c>
      <c r="E62" s="37">
        <f t="shared" si="51"/>
        <v>126.56121254719665</v>
      </c>
      <c r="F62" s="37">
        <f t="shared" si="51"/>
        <v>120.89121254719666</v>
      </c>
      <c r="G62" s="78">
        <f t="shared" si="51"/>
        <v>128.13121254719667</v>
      </c>
      <c r="H62" s="78">
        <f t="shared" ref="H62:L62" si="52">H53-H57+H58-H59+H60</f>
        <v>123.78121254719665</v>
      </c>
      <c r="I62" s="78">
        <f t="shared" si="52"/>
        <v>121.19121254719667</v>
      </c>
      <c r="J62" s="23">
        <f t="shared" si="52"/>
        <v>131.1319006897061</v>
      </c>
      <c r="K62" s="23">
        <f t="shared" si="52"/>
        <v>124.5119006897061</v>
      </c>
      <c r="L62" s="23">
        <f t="shared" si="52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53">Q53-Q57+Q58-Q59+Q60</f>
        <v>127.88040090650702</v>
      </c>
      <c r="R62" s="171">
        <f t="shared" si="53"/>
        <v>124.08040090650704</v>
      </c>
      <c r="S62" s="171">
        <f>S53-S57+S58-S59+S60</f>
        <v>126.79121254719666</v>
      </c>
      <c r="T62" s="171">
        <f t="shared" ref="T62:U62" si="54">T53-T57+T58-T59+T60</f>
        <v>120.05121254719668</v>
      </c>
      <c r="U62" s="171">
        <f t="shared" si="54"/>
        <v>116.04121254719666</v>
      </c>
      <c r="V62" s="171">
        <f>V53-V57+V58-V59+V60</f>
        <v>133.50040090650702</v>
      </c>
      <c r="W62" s="171">
        <f t="shared" ref="W62:X62" si="55">W53-W57+W58-W59+W60</f>
        <v>126.17040090650704</v>
      </c>
      <c r="X62" s="171">
        <f t="shared" si="55"/>
        <v>122.33040090650704</v>
      </c>
      <c r="Y62" s="171">
        <f>Y53-Y57+Y58-Y59+Y60</f>
        <v>127.04121254719669</v>
      </c>
      <c r="Z62" s="171">
        <f t="shared" ref="Z62:AA62" si="56">Z53-Z57+Z58-Z59+Z60</f>
        <v>121.04121254719666</v>
      </c>
      <c r="AA62" s="171">
        <f t="shared" si="56"/>
        <v>118.04121254719666</v>
      </c>
      <c r="AB62" s="179">
        <f>AB53-AB57+AB58-AB59+AB60</f>
        <v>118.94121254719667</v>
      </c>
      <c r="AC62" s="179">
        <f t="shared" ref="AC62:AD62" si="57">AC53-AC57+AC58-AC59+AC60</f>
        <v>112.74121254719668</v>
      </c>
      <c r="AD62" s="179">
        <f t="shared" si="57"/>
        <v>109.04121254719666</v>
      </c>
      <c r="AE62" s="171">
        <f>AE53-AE57+AE58-AE59+AE60</f>
        <v>126.40121254719665</v>
      </c>
      <c r="AF62" s="171">
        <f t="shared" ref="AF62:AG62" si="58">AF53-AF57+AF58-AF59+AF60</f>
        <v>120.57121254719667</v>
      </c>
      <c r="AG62" s="171">
        <f t="shared" si="58"/>
        <v>117.50121254719667</v>
      </c>
      <c r="AH62" s="179">
        <f>AH53-AH57+AH58-AH59+AH60</f>
        <v>120.61065242065987</v>
      </c>
      <c r="AI62" s="179">
        <f t="shared" ref="AI62:AJ62" si="59">AI53-AI57+AI58-AI59+AI60</f>
        <v>114.91065242065989</v>
      </c>
      <c r="AJ62" s="179">
        <f t="shared" si="59"/>
        <v>111.7106524206599</v>
      </c>
      <c r="AK62" s="171">
        <f>AK53-AK57+AK58-AK59+AK60</f>
        <v>122.00121254719667</v>
      </c>
      <c r="AL62" s="171">
        <f t="shared" ref="AL62" si="60">AL53-AL57+AL58-AL59+AL60</f>
        <v>115.80121254719666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  <c r="AH64" s="195" t="s">
        <v>16</v>
      </c>
      <c r="AI64" s="195" t="s">
        <v>16</v>
      </c>
      <c r="AJ64" s="195" t="s">
        <v>16</v>
      </c>
      <c r="AK64" s="193" t="s">
        <v>16</v>
      </c>
      <c r="AL64" s="193" t="s">
        <v>16</v>
      </c>
    </row>
    <row r="65" spans="1:38">
      <c r="A65" s="22" t="s">
        <v>98</v>
      </c>
      <c r="B65" s="37">
        <f t="shared" ref="B65:L65" si="61">B17-B23-B51+B21+B33</f>
        <v>153.80000000000004</v>
      </c>
      <c r="C65" s="37">
        <f t="shared" si="61"/>
        <v>151.10000000000002</v>
      </c>
      <c r="D65" s="37">
        <f t="shared" si="61"/>
        <v>146.40000000000003</v>
      </c>
      <c r="E65" s="37">
        <f t="shared" si="61"/>
        <v>151.47</v>
      </c>
      <c r="F65" s="37">
        <f t="shared" si="61"/>
        <v>148.80000000000004</v>
      </c>
      <c r="G65" s="78">
        <f t="shared" si="61"/>
        <v>150.09000000000003</v>
      </c>
      <c r="H65" s="78">
        <f t="shared" si="61"/>
        <v>148.74</v>
      </c>
      <c r="I65" s="78">
        <f t="shared" si="61"/>
        <v>146.15000000000003</v>
      </c>
      <c r="J65" s="23">
        <f t="shared" si="61"/>
        <v>155.74068814250944</v>
      </c>
      <c r="K65" s="23">
        <f t="shared" si="61"/>
        <v>152.12068814250947</v>
      </c>
      <c r="L65" s="23">
        <f t="shared" si="61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62">P17-P23-P51+P21+P33</f>
        <v>156.5391883593104</v>
      </c>
      <c r="Q65" s="171">
        <f t="shared" si="62"/>
        <v>152.83918835931041</v>
      </c>
      <c r="R65" s="171">
        <f t="shared" si="62"/>
        <v>149.0391883593104</v>
      </c>
      <c r="S65" s="171">
        <f t="shared" si="62"/>
        <v>148.75000000000003</v>
      </c>
      <c r="T65" s="171">
        <f t="shared" si="62"/>
        <v>145.01000000000005</v>
      </c>
      <c r="U65" s="171">
        <f t="shared" si="62"/>
        <v>141.00000000000003</v>
      </c>
      <c r="V65" s="171">
        <f t="shared" ref="V65:AA65" si="63">V17-V23-V51+V21+V33</f>
        <v>155.45918835931039</v>
      </c>
      <c r="W65" s="171">
        <f t="shared" si="63"/>
        <v>151.1291883593104</v>
      </c>
      <c r="X65" s="171">
        <f t="shared" si="63"/>
        <v>147.2891883593104</v>
      </c>
      <c r="Y65" s="171">
        <f t="shared" si="63"/>
        <v>149.00000000000006</v>
      </c>
      <c r="Z65" s="171">
        <f t="shared" si="63"/>
        <v>146.00000000000003</v>
      </c>
      <c r="AA65" s="171">
        <f t="shared" si="63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G65" si="64">AE17-AE23-AE51+AE21+AE33</f>
        <v>148.36000000000001</v>
      </c>
      <c r="AF65" s="171">
        <f t="shared" si="64"/>
        <v>145.53000000000003</v>
      </c>
      <c r="AG65" s="171">
        <f t="shared" si="64"/>
        <v>142.46000000000004</v>
      </c>
      <c r="AH65" s="179">
        <f t="shared" ref="AE65:AL65" si="65">AH17-AH23-AH51+AH21+AH33</f>
        <v>142.56943987346324</v>
      </c>
      <c r="AI65" s="179">
        <f t="shared" si="65"/>
        <v>139.86943987346325</v>
      </c>
      <c r="AJ65" s="179">
        <f t="shared" si="65"/>
        <v>136.66943987346326</v>
      </c>
      <c r="AK65" s="171">
        <f t="shared" si="65"/>
        <v>147.50000000000006</v>
      </c>
      <c r="AL65" s="171">
        <f t="shared" si="65"/>
        <v>144.30000000000001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5"/>
  <sheetViews>
    <sheetView workbookViewId="0">
      <pane xSplit="1" ySplit="1" topLeftCell="R54" activePane="bottomRight" state="frozen"/>
      <selection pane="topRight"/>
      <selection pane="bottomLeft"/>
      <selection pane="bottomRight" activeCell="T1" sqref="T1:U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6640625" style="2" customWidth="1"/>
    <col min="19" max="21" width="15.6640625" style="3" customWidth="1"/>
    <col min="22" max="22" width="15.6640625" style="194" customWidth="1"/>
    <col min="23" max="23" width="15.6640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124</v>
      </c>
      <c r="M1" s="205"/>
      <c r="N1" s="205" t="s">
        <v>126</v>
      </c>
      <c r="O1" s="205"/>
      <c r="P1" s="205" t="s">
        <v>128</v>
      </c>
      <c r="Q1" s="205"/>
      <c r="R1" s="205" t="s">
        <v>129</v>
      </c>
      <c r="S1" s="205"/>
      <c r="T1" s="205" t="s">
        <v>130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2.6</v>
      </c>
      <c r="U3" s="178">
        <v>2.6</v>
      </c>
      <c r="V3" s="178">
        <v>4</v>
      </c>
      <c r="W3" s="178">
        <v>4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ref="P18:U18" si="2">P19+10*LOG10(P12/P14)-P20</f>
        <v>0</v>
      </c>
      <c r="Q18" s="176">
        <f t="shared" si="2"/>
        <v>-3</v>
      </c>
      <c r="R18" s="178">
        <f t="shared" si="2"/>
        <v>0</v>
      </c>
      <c r="S18" s="178">
        <f t="shared" si="2"/>
        <v>-3</v>
      </c>
      <c r="T18" s="178">
        <f t="shared" si="2"/>
        <v>0</v>
      </c>
      <c r="U18" s="178">
        <f t="shared" si="2"/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 t="shared" ref="P25:U25" si="5">P17+P18+P21+P22-P24</f>
        <v>22</v>
      </c>
      <c r="Q25" s="178">
        <f t="shared" si="5"/>
        <v>19</v>
      </c>
      <c r="R25" s="178">
        <f t="shared" si="5"/>
        <v>22</v>
      </c>
      <c r="S25" s="178">
        <f t="shared" si="5"/>
        <v>19</v>
      </c>
      <c r="T25" s="178">
        <f t="shared" si="5"/>
        <v>22</v>
      </c>
      <c r="U25" s="178">
        <f t="shared" si="5"/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2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ref="P30:U30" si="8">P31+10*LOG10(P28/P13)-P32</f>
        <v>12.771212547196624</v>
      </c>
      <c r="Q30" s="176">
        <f t="shared" si="8"/>
        <v>12.771212547196624</v>
      </c>
      <c r="R30" s="178">
        <f t="shared" si="8"/>
        <v>8.7712125471966242</v>
      </c>
      <c r="S30" s="178">
        <f t="shared" si="8"/>
        <v>8.7712125471966242</v>
      </c>
      <c r="T30" s="178">
        <f t="shared" si="8"/>
        <v>12.771212547196624</v>
      </c>
      <c r="U30" s="178">
        <f t="shared" si="8"/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  <c r="V33" s="169">
        <v>12</v>
      </c>
      <c r="W33" s="169">
        <v>12</v>
      </c>
    </row>
    <row r="34" spans="1:23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8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-169.00000000000003</v>
      </c>
      <c r="M39" s="176">
        <f t="shared" si="10"/>
        <v>-169.00000000000003</v>
      </c>
      <c r="N39" s="176">
        <f t="shared" si="10"/>
        <v>-164.03352307536667</v>
      </c>
      <c r="O39" s="176">
        <f t="shared" si="10"/>
        <v>-164.03352307536667</v>
      </c>
      <c r="P39" s="176">
        <f t="shared" ref="P39:U39" si="11">10*LOG10(10^((P35+P36)/10)+10^(P37/10))</f>
        <v>-169.00000000000003</v>
      </c>
      <c r="Q39" s="176">
        <f t="shared" si="11"/>
        <v>-169.00000000000003</v>
      </c>
      <c r="R39" s="178">
        <f t="shared" si="11"/>
        <v>-169.00000000000003</v>
      </c>
      <c r="S39" s="178">
        <f t="shared" si="11"/>
        <v>-169.00000000000003</v>
      </c>
      <c r="T39" s="178">
        <f t="shared" si="11"/>
        <v>-169.00000000000003</v>
      </c>
      <c r="U39" s="178">
        <f t="shared" si="11"/>
        <v>-169.00000000000003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6">
        <f t="shared" ref="P41:U41" si="14">1*12*30*1000</f>
        <v>360000</v>
      </c>
      <c r="Q41" s="176">
        <f t="shared" si="14"/>
        <v>360000</v>
      </c>
      <c r="R41" s="178">
        <f t="shared" si="14"/>
        <v>360000</v>
      </c>
      <c r="S41" s="178">
        <f t="shared" si="14"/>
        <v>360000</v>
      </c>
      <c r="T41" s="178">
        <f t="shared" si="14"/>
        <v>360000</v>
      </c>
      <c r="U41" s="178">
        <f t="shared" si="14"/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-113.43697499232715</v>
      </c>
      <c r="M43" s="176">
        <f t="shared" si="16"/>
        <v>-113.43697499232715</v>
      </c>
      <c r="N43" s="176">
        <f t="shared" si="16"/>
        <v>-108.4704980676938</v>
      </c>
      <c r="O43" s="176">
        <f t="shared" si="16"/>
        <v>-108.4704980676938</v>
      </c>
      <c r="P43" s="176">
        <f t="shared" ref="P43:U43" si="17">P39+10*LOG10(P41)</f>
        <v>-113.43697499232715</v>
      </c>
      <c r="Q43" s="176">
        <f t="shared" si="17"/>
        <v>-113.43697499232715</v>
      </c>
      <c r="R43" s="178">
        <f t="shared" si="17"/>
        <v>-113.43697499232715</v>
      </c>
      <c r="S43" s="178">
        <f t="shared" si="17"/>
        <v>-113.43697499232715</v>
      </c>
      <c r="T43" s="178">
        <f t="shared" si="17"/>
        <v>-113.43697499232715</v>
      </c>
      <c r="U43" s="178">
        <f t="shared" si="17"/>
        <v>-113.43697499232715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  <c r="V45" s="169">
        <v>-9.84</v>
      </c>
      <c r="W45" s="169">
        <v>-9.84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8">
      <c r="A50" s="8" t="s">
        <v>80</v>
      </c>
      <c r="B50" s="13">
        <f t="shared" ref="B50:I50" si="18">B43+B45+B47-B48</f>
        <v>-118.83697499232716</v>
      </c>
      <c r="C50" s="13">
        <f t="shared" si="18"/>
        <v>-118.53697499232715</v>
      </c>
      <c r="D50" s="13">
        <f t="shared" si="18"/>
        <v>-121.73697499232715</v>
      </c>
      <c r="E50" s="13">
        <f t="shared" si="18"/>
        <v>-121.73697499232715</v>
      </c>
      <c r="F50" s="86">
        <f t="shared" si="18"/>
        <v>-115.26697499232715</v>
      </c>
      <c r="G50" s="86">
        <f t="shared" si="18"/>
        <v>-115.14697499232715</v>
      </c>
      <c r="H50" s="13">
        <f t="shared" si="18"/>
        <v>-109.47536389278032</v>
      </c>
      <c r="I50" s="13">
        <f t="shared" si="18"/>
        <v>-109.47536389278032</v>
      </c>
      <c r="J50" s="178">
        <f t="shared" ref="J50:O50" si="19">J43+J45+J47-J48</f>
        <v>-104.89536389278032</v>
      </c>
      <c r="K50" s="178">
        <f t="shared" si="19"/>
        <v>-104.89536389278032</v>
      </c>
      <c r="L50" s="176">
        <f t="shared" si="19"/>
        <v>-121.46697499232715</v>
      </c>
      <c r="M50" s="176">
        <f t="shared" si="19"/>
        <v>-121.46697499232715</v>
      </c>
      <c r="N50" s="176">
        <f t="shared" si="19"/>
        <v>-116.7504980676938</v>
      </c>
      <c r="O50" s="176">
        <f t="shared" si="19"/>
        <v>-116.7504980676938</v>
      </c>
      <c r="P50" s="176">
        <f t="shared" ref="P50:U50" si="20">P43+P45+P47-P48</f>
        <v>-118.43697499232715</v>
      </c>
      <c r="Q50" s="176">
        <f t="shared" si="20"/>
        <v>-118.43697499232715</v>
      </c>
      <c r="R50" s="178">
        <f t="shared" si="20"/>
        <v>-116.83697499232716</v>
      </c>
      <c r="S50" s="178">
        <f t="shared" si="20"/>
        <v>-116.83697499232716</v>
      </c>
      <c r="T50" s="178">
        <f t="shared" si="20"/>
        <v>-120.83697499232716</v>
      </c>
      <c r="U50" s="178">
        <f t="shared" si="20"/>
        <v>-120.33697499232716</v>
      </c>
      <c r="V50" s="164">
        <f>V43+V45+V47-V48</f>
        <v>-121.27697499232715</v>
      </c>
      <c r="W50" s="164">
        <f>W43+W45+W47-W48</f>
        <v>-121.27697499232715</v>
      </c>
    </row>
    <row r="51" spans="1:23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8">
      <c r="A52" s="22" t="s">
        <v>83</v>
      </c>
      <c r="B52" s="23">
        <f t="shared" ref="B52:I52" si="21">B25+B30+B33-B34-B50</f>
        <v>158.60818753952378</v>
      </c>
      <c r="C52" s="23">
        <f t="shared" si="21"/>
        <v>155.30818753952377</v>
      </c>
      <c r="D52" s="23">
        <f t="shared" si="21"/>
        <v>162.59818753952376</v>
      </c>
      <c r="E52" s="23">
        <f t="shared" si="21"/>
        <v>159.59818753952376</v>
      </c>
      <c r="F52" s="90">
        <f t="shared" si="21"/>
        <v>155.03818753952379</v>
      </c>
      <c r="G52" s="90">
        <f t="shared" si="21"/>
        <v>151.91818753952379</v>
      </c>
      <c r="H52" s="23">
        <f t="shared" si="21"/>
        <v>156.298076223176</v>
      </c>
      <c r="I52" s="23">
        <f t="shared" si="21"/>
        <v>153.298076223176</v>
      </c>
      <c r="J52" s="179">
        <f t="shared" ref="J52:O52" si="22">J25+J30+J33-J34-J50</f>
        <v>151.71657643997696</v>
      </c>
      <c r="K52" s="179">
        <f t="shared" si="22"/>
        <v>148.71657643997696</v>
      </c>
      <c r="L52" s="179">
        <f t="shared" si="22"/>
        <v>161.23818753952378</v>
      </c>
      <c r="M52" s="179">
        <f t="shared" si="22"/>
        <v>158.23818753952378</v>
      </c>
      <c r="N52" s="179">
        <f t="shared" si="22"/>
        <v>160.52171061489042</v>
      </c>
      <c r="O52" s="179">
        <f t="shared" si="22"/>
        <v>157.52171061489042</v>
      </c>
      <c r="P52" s="179">
        <f t="shared" ref="P52:U52" si="23">P25+P30+P33-P34-P50</f>
        <v>158.20818753952378</v>
      </c>
      <c r="Q52" s="179">
        <f t="shared" si="23"/>
        <v>155.20818753952378</v>
      </c>
      <c r="R52" s="179">
        <f t="shared" si="23"/>
        <v>153.60818753952378</v>
      </c>
      <c r="S52" s="179">
        <f t="shared" si="23"/>
        <v>150.60818753952378</v>
      </c>
      <c r="T52" s="179">
        <f t="shared" si="23"/>
        <v>160.60818753952378</v>
      </c>
      <c r="U52" s="179">
        <f t="shared" si="23"/>
        <v>157.10818753952378</v>
      </c>
      <c r="V52" s="171">
        <f>V25+V30+V33-V34-V50</f>
        <v>161.50818753952376</v>
      </c>
      <c r="W52" s="171">
        <f>W25+W30+W33-W34-W50</f>
        <v>158.50818753952376</v>
      </c>
    </row>
    <row r="53" spans="1:23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8">
      <c r="A61" s="22" t="s">
        <v>108</v>
      </c>
      <c r="B61" s="23">
        <f t="shared" ref="B61:I61" si="24">B52-B56+B58-B59+B60</f>
        <v>124.79818753952378</v>
      </c>
      <c r="C61" s="23">
        <f t="shared" si="24"/>
        <v>121.49818753952377</v>
      </c>
      <c r="D61" s="23">
        <f t="shared" si="24"/>
        <v>128.78818753952376</v>
      </c>
      <c r="E61" s="23">
        <f t="shared" si="24"/>
        <v>125.78818753952376</v>
      </c>
      <c r="F61" s="90">
        <f t="shared" si="24"/>
        <v>121.22818753952379</v>
      </c>
      <c r="G61" s="90">
        <f t="shared" si="24"/>
        <v>118.10818753952378</v>
      </c>
      <c r="H61" s="23">
        <f t="shared" si="24"/>
        <v>122.48807622317599</v>
      </c>
      <c r="I61" s="23">
        <f t="shared" si="24"/>
        <v>119.48807622317599</v>
      </c>
      <c r="J61" s="179">
        <f t="shared" ref="J61:O61" si="25">J52-J56+J58-J59+J60</f>
        <v>117.88657643997695</v>
      </c>
      <c r="K61" s="179">
        <f t="shared" si="25"/>
        <v>114.88657643997695</v>
      </c>
      <c r="L61" s="179">
        <f t="shared" si="25"/>
        <v>127.42818753952378</v>
      </c>
      <c r="M61" s="179">
        <f t="shared" si="25"/>
        <v>124.42818753952378</v>
      </c>
      <c r="N61" s="179">
        <f t="shared" si="25"/>
        <v>126.71171061489042</v>
      </c>
      <c r="O61" s="179">
        <f t="shared" si="25"/>
        <v>123.71171061489042</v>
      </c>
      <c r="P61" s="179">
        <f t="shared" ref="P61:U61" si="26">P52-P56+P58-P59+P60</f>
        <v>124.39818753952378</v>
      </c>
      <c r="Q61" s="179">
        <f t="shared" si="26"/>
        <v>121.39818753952378</v>
      </c>
      <c r="R61" s="179">
        <f t="shared" si="26"/>
        <v>119.79818753952378</v>
      </c>
      <c r="S61" s="179">
        <f t="shared" si="26"/>
        <v>116.79818753952378</v>
      </c>
      <c r="T61" s="179">
        <f t="shared" si="26"/>
        <v>126.79818753952378</v>
      </c>
      <c r="U61" s="179">
        <f t="shared" si="26"/>
        <v>123.29818753952378</v>
      </c>
      <c r="V61" s="171">
        <f>V52-V56+V58-V59+V60</f>
        <v>127.69818753952376</v>
      </c>
      <c r="W61" s="171">
        <f>W52-W56+W58-W59+W60</f>
        <v>124.69818753952376</v>
      </c>
    </row>
    <row r="62" spans="1:23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  <c r="W63" s="194"/>
    </row>
    <row r="64" spans="1:23">
      <c r="A64" s="22" t="s">
        <v>97</v>
      </c>
      <c r="B64" s="23">
        <f t="shared" ref="B64:I64" si="27">B17+B22-B50+B21+B33</f>
        <v>149.83697499232716</v>
      </c>
      <c r="C64" s="23">
        <f t="shared" si="27"/>
        <v>149.53697499232715</v>
      </c>
      <c r="D64" s="23">
        <f t="shared" si="27"/>
        <v>156.77697499232713</v>
      </c>
      <c r="E64" s="23">
        <f t="shared" si="27"/>
        <v>156.77697499232713</v>
      </c>
      <c r="F64" s="90">
        <f t="shared" si="27"/>
        <v>146.26697499232716</v>
      </c>
      <c r="G64" s="90">
        <f t="shared" si="27"/>
        <v>146.14697499232716</v>
      </c>
      <c r="H64" s="23">
        <f t="shared" si="27"/>
        <v>147.52686367597937</v>
      </c>
      <c r="I64" s="23">
        <f t="shared" si="27"/>
        <v>147.52686367597937</v>
      </c>
      <c r="J64" s="179">
        <f t="shared" ref="J64:O64" si="28">J17+J22-J50+J21+J33</f>
        <v>142.94536389278034</v>
      </c>
      <c r="K64" s="179">
        <f t="shared" si="28"/>
        <v>142.94536389278034</v>
      </c>
      <c r="L64" s="179">
        <f t="shared" si="28"/>
        <v>152.46697499232715</v>
      </c>
      <c r="M64" s="179">
        <f t="shared" si="28"/>
        <v>152.46697499232715</v>
      </c>
      <c r="N64" s="179">
        <f t="shared" si="28"/>
        <v>151.7504980676938</v>
      </c>
      <c r="O64" s="179">
        <f t="shared" si="28"/>
        <v>151.7504980676938</v>
      </c>
      <c r="P64" s="179">
        <f t="shared" ref="P64:U64" si="29">P17+P22-P50+P21+P33</f>
        <v>149.43697499232715</v>
      </c>
      <c r="Q64" s="179">
        <f t="shared" si="29"/>
        <v>149.43697499232715</v>
      </c>
      <c r="R64" s="179">
        <f t="shared" si="29"/>
        <v>148.83697499232716</v>
      </c>
      <c r="S64" s="179">
        <f t="shared" si="29"/>
        <v>148.83697499232716</v>
      </c>
      <c r="T64" s="179">
        <f t="shared" si="29"/>
        <v>151.83697499232716</v>
      </c>
      <c r="U64" s="179">
        <f t="shared" si="29"/>
        <v>151.33697499232716</v>
      </c>
      <c r="V64" s="171">
        <f>V17+V22-V50+V21+V33</f>
        <v>156.27697499232715</v>
      </c>
      <c r="W64" s="171">
        <f>W17+W22-W50+W21+W33</f>
        <v>156.27697499232715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194" customWidth="1"/>
    <col min="17" max="17" width="15.6640625" style="3" customWidth="1"/>
    <col min="18" max="16384" width="9" style="3"/>
  </cols>
  <sheetData>
    <row r="1" spans="1:1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124</v>
      </c>
      <c r="K1" s="205"/>
      <c r="L1" s="205" t="s">
        <v>128</v>
      </c>
      <c r="M1" s="205"/>
      <c r="N1" s="205" t="s">
        <v>129</v>
      </c>
      <c r="O1" s="205"/>
      <c r="P1" s="207" t="s">
        <v>132</v>
      </c>
      <c r="Q1" s="207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74" t="s">
        <v>102</v>
      </c>
      <c r="Q2" s="198" t="s">
        <v>110</v>
      </c>
    </row>
    <row r="3" spans="1:17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</row>
    <row r="4" spans="1:1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64">
        <v>100</v>
      </c>
      <c r="Q4" s="164">
        <v>100</v>
      </c>
    </row>
    <row r="5" spans="1:1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91" t="s">
        <v>16</v>
      </c>
      <c r="Q5" s="191" t="s">
        <v>16</v>
      </c>
    </row>
    <row r="6" spans="1:1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91" t="s">
        <v>16</v>
      </c>
      <c r="Q6" s="191" t="s">
        <v>16</v>
      </c>
    </row>
    <row r="7" spans="1:1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92">
        <v>0.01</v>
      </c>
      <c r="Q7" s="192">
        <v>0.01</v>
      </c>
    </row>
    <row r="8" spans="1:1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91" t="s">
        <v>16</v>
      </c>
      <c r="Q8" s="191" t="s">
        <v>16</v>
      </c>
    </row>
    <row r="9" spans="1:1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  <c r="P9" s="164" t="s">
        <v>22</v>
      </c>
      <c r="Q9" s="164" t="s">
        <v>22</v>
      </c>
    </row>
    <row r="10" spans="1:1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  <c r="P10" s="164">
        <v>3</v>
      </c>
      <c r="Q10" s="164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68"/>
      <c r="Q11" s="168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64">
        <v>1</v>
      </c>
      <c r="Q12" s="164">
        <v>1</v>
      </c>
    </row>
    <row r="13" spans="1:1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  <c r="P13" s="164">
        <v>64</v>
      </c>
      <c r="Q13" s="164">
        <v>64</v>
      </c>
    </row>
    <row r="14" spans="1:1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  <c r="P14" s="164">
        <v>1</v>
      </c>
      <c r="Q14" s="164">
        <v>1</v>
      </c>
    </row>
    <row r="15" spans="1:1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  <c r="P15" s="164" t="s">
        <v>16</v>
      </c>
      <c r="Q15" s="164" t="s">
        <v>16</v>
      </c>
    </row>
    <row r="16" spans="1:1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64">
        <v>23</v>
      </c>
      <c r="Q16" s="164">
        <v>23</v>
      </c>
    </row>
    <row r="17" spans="1:1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64">
        <v>23</v>
      </c>
      <c r="Q17" s="164">
        <v>23</v>
      </c>
    </row>
    <row r="18" spans="1:17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  <c r="P18" s="164">
        <f>P19+10*LOG10(P12/P14)-P20</f>
        <v>0</v>
      </c>
      <c r="Q18" s="164">
        <f>Q19+10*LOG10(Q12/Q14)-Q20</f>
        <v>-3</v>
      </c>
    </row>
    <row r="19" spans="1:1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64">
        <v>0</v>
      </c>
      <c r="Q19" s="164">
        <v>-3</v>
      </c>
    </row>
    <row r="20" spans="1:1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  <c r="P20" s="164">
        <v>0</v>
      </c>
      <c r="Q20" s="164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  <c r="P21" s="164">
        <v>0</v>
      </c>
      <c r="Q21" s="164">
        <v>0</v>
      </c>
    </row>
    <row r="22" spans="1:1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64">
        <v>0</v>
      </c>
      <c r="Q22" s="164">
        <v>0</v>
      </c>
    </row>
    <row r="23" spans="1:1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64">
        <v>0</v>
      </c>
      <c r="Q23" s="164">
        <v>0</v>
      </c>
    </row>
    <row r="24" spans="1:1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64">
        <v>1</v>
      </c>
      <c r="Q24" s="164">
        <v>1</v>
      </c>
    </row>
    <row r="25" spans="1:17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  <c r="P25" s="164">
        <f>P17+P18+P21+P22-P24</f>
        <v>22</v>
      </c>
      <c r="Q25" s="164">
        <f>Q17+Q18+Q21+Q22-Q24</f>
        <v>19</v>
      </c>
    </row>
    <row r="26" spans="1:1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91" t="s">
        <v>16</v>
      </c>
      <c r="Q26" s="191" t="s">
        <v>16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68"/>
      <c r="Q27" s="168"/>
    </row>
    <row r="28" spans="1:1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  <c r="P28" s="164">
        <v>192</v>
      </c>
      <c r="Q28" s="164">
        <v>192</v>
      </c>
    </row>
    <row r="29" spans="1:1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  <c r="P29" s="163">
        <v>4</v>
      </c>
      <c r="Q29" s="163">
        <v>4</v>
      </c>
    </row>
    <row r="30" spans="1:17" ht="42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  <c r="P30" s="164">
        <f>P31+10*LOG10(P28/P13)-P32</f>
        <v>9.2312125471966233</v>
      </c>
      <c r="Q30" s="164">
        <f>Q31+10*LOG10(Q28/Q13)-Q32</f>
        <v>9.2312125471966233</v>
      </c>
    </row>
    <row r="31" spans="1:1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64">
        <v>8</v>
      </c>
      <c r="Q31" s="164">
        <v>8</v>
      </c>
    </row>
    <row r="32" spans="1:1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  <c r="P32" s="163">
        <v>3.54</v>
      </c>
      <c r="Q32" s="163">
        <v>3.54</v>
      </c>
    </row>
    <row r="33" spans="1:1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  <c r="P33" s="169">
        <v>12</v>
      </c>
      <c r="Q33" s="169">
        <v>12</v>
      </c>
    </row>
    <row r="34" spans="1:1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64">
        <v>3</v>
      </c>
      <c r="Q34" s="164">
        <v>3</v>
      </c>
    </row>
    <row r="35" spans="1:1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64">
        <v>5</v>
      </c>
      <c r="Q35" s="164">
        <v>5</v>
      </c>
    </row>
    <row r="36" spans="1:1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64">
        <v>-174</v>
      </c>
      <c r="Q36" s="164">
        <v>-174</v>
      </c>
    </row>
    <row r="37" spans="1:1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  <c r="P37" s="163">
        <v>-999</v>
      </c>
      <c r="Q37" s="163">
        <v>-999</v>
      </c>
    </row>
    <row r="38" spans="1:1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  <c r="P38" s="164" t="s">
        <v>16</v>
      </c>
      <c r="Q38" s="164" t="s">
        <v>16</v>
      </c>
    </row>
    <row r="39" spans="1:17" ht="28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  <c r="P39" s="164">
        <f>10*LOG10(10^((P35+P36)/10)+10^(P37/10))</f>
        <v>-169.00000000000003</v>
      </c>
      <c r="Q39" s="164">
        <f>10*LOG10(10^((Q35+Q36)/10)+10^(Q37/10))</f>
        <v>-169.00000000000003</v>
      </c>
    </row>
    <row r="40" spans="1:17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91" t="s">
        <v>16</v>
      </c>
      <c r="Q40" s="191" t="s">
        <v>16</v>
      </c>
    </row>
    <row r="41" spans="1:17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  <c r="P41" s="164">
        <f>1*12*30*1000</f>
        <v>360000</v>
      </c>
      <c r="Q41" s="164">
        <f>1*12*30*1000</f>
        <v>360000</v>
      </c>
    </row>
    <row r="42" spans="1:1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  <c r="P42" s="164" t="s">
        <v>16</v>
      </c>
      <c r="Q42" s="164" t="s">
        <v>16</v>
      </c>
    </row>
    <row r="43" spans="1:17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  <c r="P43" s="164">
        <f>P39+10*LOG10(P41)</f>
        <v>-113.43697499232715</v>
      </c>
      <c r="Q43" s="164">
        <f>Q39+10*LOG10(Q41)</f>
        <v>-113.43697499232715</v>
      </c>
    </row>
    <row r="44" spans="1:1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91" t="s">
        <v>16</v>
      </c>
      <c r="Q44" s="191" t="s">
        <v>16</v>
      </c>
    </row>
    <row r="45" spans="1:17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  <c r="P45" s="169">
        <v>-8.6</v>
      </c>
      <c r="Q45" s="169">
        <v>-8.6</v>
      </c>
    </row>
    <row r="46" spans="1:1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  <c r="P46" s="164" t="s">
        <v>16</v>
      </c>
      <c r="Q46" s="164" t="s">
        <v>16</v>
      </c>
    </row>
    <row r="47" spans="1:1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64">
        <v>2</v>
      </c>
      <c r="Q47" s="164">
        <v>2</v>
      </c>
    </row>
    <row r="48" spans="1:17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64">
        <v>0</v>
      </c>
      <c r="Q48" s="164">
        <v>0</v>
      </c>
    </row>
    <row r="49" spans="1:1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91" t="s">
        <v>16</v>
      </c>
      <c r="Q49" s="191" t="s">
        <v>16</v>
      </c>
    </row>
    <row r="50" spans="1:17" ht="28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  <c r="P50" s="164">
        <f>P43+P45+P47-P48</f>
        <v>-120.03697499232715</v>
      </c>
      <c r="Q50" s="164">
        <f>Q43+Q45+Q47-Q48</f>
        <v>-120.03697499232715</v>
      </c>
    </row>
    <row r="51" spans="1:17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  <c r="P51" s="164" t="s">
        <v>16</v>
      </c>
      <c r="Q51" s="164" t="s">
        <v>16</v>
      </c>
    </row>
    <row r="52" spans="1:17" ht="28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  <c r="P52" s="171">
        <f>P25+P30+P33-P34-P50</f>
        <v>160.26818753952375</v>
      </c>
      <c r="Q52" s="171">
        <f>Q25+Q30+Q33-Q34-Q50</f>
        <v>157.26818753952375</v>
      </c>
    </row>
    <row r="53" spans="1:1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  <c r="P53" s="193" t="s">
        <v>16</v>
      </c>
      <c r="Q53" s="193" t="s">
        <v>16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68"/>
      <c r="Q54" s="168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63">
        <v>7</v>
      </c>
      <c r="Q55" s="163">
        <v>7</v>
      </c>
    </row>
    <row r="56" spans="1:17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  <c r="P56" s="163">
        <v>7.56</v>
      </c>
      <c r="Q56" s="163">
        <v>7.56</v>
      </c>
    </row>
    <row r="57" spans="1:17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  <c r="P57" s="191" t="s">
        <v>16</v>
      </c>
      <c r="Q57" s="191" t="s">
        <v>16</v>
      </c>
    </row>
    <row r="58" spans="1:1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63">
        <v>0</v>
      </c>
      <c r="Q58" s="163">
        <v>0</v>
      </c>
    </row>
    <row r="59" spans="1:1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63">
        <v>26.25</v>
      </c>
      <c r="Q59" s="163">
        <v>26.25</v>
      </c>
    </row>
    <row r="60" spans="1:1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63">
        <v>0</v>
      </c>
      <c r="Q60" s="163">
        <v>0</v>
      </c>
    </row>
    <row r="61" spans="1:17" ht="28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  <c r="P61" s="171">
        <f>P52-P56+P58-P59+P60</f>
        <v>126.45818753952375</v>
      </c>
      <c r="Q61" s="171">
        <f>Q52-Q56+Q58-Q59+Q60</f>
        <v>123.45818753952375</v>
      </c>
    </row>
    <row r="62" spans="1:17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  <c r="P62" s="193" t="s">
        <v>16</v>
      </c>
      <c r="Q62" s="193" t="s">
        <v>16</v>
      </c>
    </row>
    <row r="63" spans="1:17">
      <c r="C63" s="2"/>
      <c r="E63" s="2"/>
      <c r="G63" s="82"/>
      <c r="H63" s="2"/>
      <c r="I63" s="2"/>
      <c r="K63" s="2"/>
      <c r="M63" s="2"/>
      <c r="O63" s="2"/>
      <c r="Q63" s="194"/>
    </row>
    <row r="64" spans="1:17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  <c r="P64" s="171">
        <f>P17+P22-P50+P21+P33</f>
        <v>155.03697499232715</v>
      </c>
      <c r="Q64" s="171">
        <f>Q17+Q22-Q50+Q21+Q33</f>
        <v>155.03697499232715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  <c r="P65" s="193" t="s">
        <v>16</v>
      </c>
      <c r="Q65" s="193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workbookViewId="0">
      <pane xSplit="1" ySplit="1" topLeftCell="P54" activePane="bottomRight" state="frozen"/>
      <selection pane="topRight"/>
      <selection pane="bottomLeft"/>
      <selection pane="bottomRight" activeCell="R1" sqref="R1:S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9" width="15.6640625" style="3" customWidth="1"/>
    <col min="10" max="10" width="15.6640625" style="2" customWidth="1"/>
    <col min="11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9" width="15.6640625" style="3" customWidth="1"/>
    <col min="20" max="20" width="15.6640625" style="2" customWidth="1"/>
    <col min="21" max="21" width="15.6640625" style="3" customWidth="1"/>
    <col min="22" max="22" width="15.6640625" style="194" customWidth="1"/>
    <col min="23" max="23" width="15.6640625" style="3" customWidth="1"/>
    <col min="24" max="16384" width="9" style="3"/>
  </cols>
  <sheetData>
    <row r="1" spans="1:23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123</v>
      </c>
      <c r="K1" s="205"/>
      <c r="L1" s="205" t="s">
        <v>126</v>
      </c>
      <c r="M1" s="205"/>
      <c r="N1" s="205" t="s">
        <v>128</v>
      </c>
      <c r="O1" s="205"/>
      <c r="P1" s="205" t="s">
        <v>129</v>
      </c>
      <c r="Q1" s="205"/>
      <c r="R1" s="205" t="s">
        <v>130</v>
      </c>
      <c r="S1" s="205"/>
      <c r="T1" s="205" t="s">
        <v>131</v>
      </c>
      <c r="U1" s="205"/>
      <c r="V1" s="207" t="s">
        <v>132</v>
      </c>
      <c r="W1" s="207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74" t="s">
        <v>102</v>
      </c>
      <c r="W2" s="198" t="s">
        <v>110</v>
      </c>
    </row>
    <row r="3" spans="1:23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2.6</v>
      </c>
      <c r="S3" s="178">
        <v>2.6</v>
      </c>
      <c r="T3" s="178">
        <v>4</v>
      </c>
      <c r="U3" s="178">
        <v>4</v>
      </c>
      <c r="V3" s="178">
        <v>4</v>
      </c>
      <c r="W3" s="178">
        <v>4</v>
      </c>
    </row>
    <row r="4" spans="1:23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64">
        <v>100</v>
      </c>
      <c r="W4" s="164">
        <v>100</v>
      </c>
    </row>
    <row r="5" spans="1:23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91" t="s">
        <v>16</v>
      </c>
      <c r="W5" s="191" t="s">
        <v>16</v>
      </c>
    </row>
    <row r="6" spans="1:23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91" t="s">
        <v>16</v>
      </c>
      <c r="W6" s="191" t="s">
        <v>16</v>
      </c>
    </row>
    <row r="7" spans="1:23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  <c r="V7" s="192">
        <v>0.01</v>
      </c>
      <c r="W7" s="192">
        <v>0.01</v>
      </c>
    </row>
    <row r="8" spans="1:23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  <c r="V8" s="191" t="s">
        <v>16</v>
      </c>
      <c r="W8" s="191" t="s">
        <v>16</v>
      </c>
    </row>
    <row r="9" spans="1:23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  <c r="V9" s="164" t="s">
        <v>22</v>
      </c>
      <c r="W9" s="164" t="s">
        <v>22</v>
      </c>
    </row>
    <row r="10" spans="1:23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  <c r="T10" s="178">
        <v>3</v>
      </c>
      <c r="U10" s="178">
        <v>3</v>
      </c>
      <c r="V10" s="164">
        <v>3</v>
      </c>
      <c r="W10" s="164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68"/>
      <c r="W11" s="168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64">
        <v>1</v>
      </c>
      <c r="W12" s="164">
        <v>1</v>
      </c>
    </row>
    <row r="13" spans="1:23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  <c r="T13" s="178">
        <v>64</v>
      </c>
      <c r="U13" s="178">
        <v>64</v>
      </c>
      <c r="V13" s="164">
        <v>64</v>
      </c>
      <c r="W13" s="164">
        <v>64</v>
      </c>
    </row>
    <row r="14" spans="1:23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  <c r="T14" s="178">
        <v>1</v>
      </c>
      <c r="U14" s="178">
        <v>1</v>
      </c>
      <c r="V14" s="164">
        <v>1</v>
      </c>
      <c r="W14" s="164">
        <v>1</v>
      </c>
    </row>
    <row r="15" spans="1:23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  <c r="V15" s="164" t="s">
        <v>16</v>
      </c>
      <c r="W15" s="164" t="s">
        <v>16</v>
      </c>
    </row>
    <row r="16" spans="1:23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64">
        <v>23</v>
      </c>
      <c r="W16" s="164">
        <v>23</v>
      </c>
    </row>
    <row r="17" spans="1:23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64">
        <v>23</v>
      </c>
      <c r="W17" s="164">
        <v>23</v>
      </c>
    </row>
    <row r="18" spans="1:23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  <c r="T18" s="178">
        <f>T19+10*LOG10(T12/T14)-T20</f>
        <v>0</v>
      </c>
      <c r="U18" s="178">
        <f>U19+10*LOG10(U12/U14)-U20</f>
        <v>-3</v>
      </c>
      <c r="V18" s="164">
        <f>V19+10*LOG10(V12/V14)-V20</f>
        <v>0</v>
      </c>
      <c r="W18" s="164">
        <f>W19+10*LOG10(W12/W14)-W20</f>
        <v>-3</v>
      </c>
    </row>
    <row r="19" spans="1:23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64">
        <v>0</v>
      </c>
      <c r="W19" s="164">
        <v>-3</v>
      </c>
    </row>
    <row r="20" spans="1:23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  <c r="T20" s="178">
        <v>0</v>
      </c>
      <c r="U20" s="178">
        <v>0</v>
      </c>
      <c r="V20" s="164">
        <v>0</v>
      </c>
      <c r="W20" s="164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  <c r="V21" s="164">
        <v>0</v>
      </c>
      <c r="W21" s="164">
        <v>0</v>
      </c>
    </row>
    <row r="22" spans="1:23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64">
        <v>0</v>
      </c>
      <c r="W22" s="164">
        <v>0</v>
      </c>
    </row>
    <row r="23" spans="1:23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64">
        <v>0</v>
      </c>
      <c r="W23" s="164">
        <v>0</v>
      </c>
    </row>
    <row r="24" spans="1:23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64">
        <v>1</v>
      </c>
      <c r="W24" s="164">
        <v>1</v>
      </c>
    </row>
    <row r="25" spans="1:23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  <c r="T25" s="178">
        <f>T17+T18+T21+T22-T24</f>
        <v>22</v>
      </c>
      <c r="U25" s="178">
        <f>U17+U18+U21+U22-U24</f>
        <v>19</v>
      </c>
      <c r="V25" s="164">
        <f>V17+V18+V21+V22-V24</f>
        <v>22</v>
      </c>
      <c r="W25" s="164">
        <f>W17+W18+W21+W22-W24</f>
        <v>19</v>
      </c>
    </row>
    <row r="26" spans="1:23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  <c r="V26" s="191" t="s">
        <v>16</v>
      </c>
      <c r="W26" s="191" t="s">
        <v>16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68"/>
      <c r="W27" s="168"/>
    </row>
    <row r="28" spans="1:23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  <c r="T28" s="178">
        <v>192</v>
      </c>
      <c r="U28" s="178">
        <v>192</v>
      </c>
      <c r="V28" s="164">
        <v>192</v>
      </c>
      <c r="W28" s="164">
        <v>192</v>
      </c>
    </row>
    <row r="29" spans="1:23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63">
        <v>4</v>
      </c>
      <c r="W29" s="163">
        <v>4</v>
      </c>
    </row>
    <row r="30" spans="1:23" ht="42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  <c r="T30" s="178">
        <f>T31+10*LOG10(T28/T13)-T32</f>
        <v>12.771212547196624</v>
      </c>
      <c r="U30" s="178">
        <f>U31+10*LOG10(U28/U13)-U32</f>
        <v>12.771212547196624</v>
      </c>
      <c r="V30" s="164">
        <f>V31+10*LOG10(V28/V13)-V32</f>
        <v>9.2312125471966233</v>
      </c>
      <c r="W30" s="164">
        <f>W31+10*LOG10(W28/W13)-W32</f>
        <v>9.2312125471966233</v>
      </c>
    </row>
    <row r="31" spans="1:23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64">
        <v>8</v>
      </c>
      <c r="W31" s="164">
        <v>8</v>
      </c>
    </row>
    <row r="32" spans="1:23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  <c r="T32" s="186">
        <v>0</v>
      </c>
      <c r="U32" s="186">
        <v>0</v>
      </c>
      <c r="V32" s="163">
        <v>3.54</v>
      </c>
      <c r="W32" s="163">
        <v>3.54</v>
      </c>
    </row>
    <row r="33" spans="1:23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  <c r="T33" s="182">
        <v>7</v>
      </c>
      <c r="U33" s="182">
        <v>7</v>
      </c>
      <c r="V33" s="169">
        <v>12</v>
      </c>
      <c r="W33" s="169">
        <v>12</v>
      </c>
    </row>
    <row r="34" spans="1:23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64">
        <v>3</v>
      </c>
      <c r="W34" s="164">
        <v>3</v>
      </c>
    </row>
    <row r="35" spans="1:23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64">
        <v>5</v>
      </c>
      <c r="W35" s="164">
        <v>5</v>
      </c>
    </row>
    <row r="36" spans="1:23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  <c r="V36" s="164">
        <v>-174</v>
      </c>
      <c r="W36" s="164">
        <v>-174</v>
      </c>
    </row>
    <row r="37" spans="1:23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-160.96</v>
      </c>
      <c r="U37" s="186">
        <v>-160.96</v>
      </c>
      <c r="V37" s="163">
        <v>-999</v>
      </c>
      <c r="W37" s="163">
        <v>-999</v>
      </c>
    </row>
    <row r="38" spans="1:23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  <c r="V38" s="164" t="s">
        <v>16</v>
      </c>
      <c r="W38" s="164" t="s">
        <v>16</v>
      </c>
    </row>
    <row r="39" spans="1:23" ht="28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  <c r="T39" s="178">
        <f>10*LOG10(10^((T35+T36)/10)+10^(T37/10))</f>
        <v>-160.32653022945425</v>
      </c>
      <c r="U39" s="178">
        <f>10*LOG10(10^((U35+U36)/10)+10^(U37/10))</f>
        <v>-160.32653022945425</v>
      </c>
      <c r="V39" s="164">
        <f>10*LOG10(10^((V35+V36)/10)+10^(V37/10))</f>
        <v>-169.00000000000003</v>
      </c>
      <c r="W39" s="164">
        <f>10*LOG10(10^((W35+W36)/10)+10^(W37/10))</f>
        <v>-169.00000000000003</v>
      </c>
    </row>
    <row r="40" spans="1:23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  <c r="V40" s="191" t="s">
        <v>16</v>
      </c>
      <c r="W40" s="191" t="s">
        <v>16</v>
      </c>
    </row>
    <row r="41" spans="1:23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  <c r="T41" s="178">
        <f>1*12*30*1000</f>
        <v>360000</v>
      </c>
      <c r="U41" s="178">
        <f>1*12*30*1000</f>
        <v>360000</v>
      </c>
      <c r="V41" s="164">
        <f>1*12*30*1000</f>
        <v>360000</v>
      </c>
      <c r="W41" s="164">
        <f>1*12*30*1000</f>
        <v>360000</v>
      </c>
    </row>
    <row r="42" spans="1:23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  <c r="V42" s="164" t="s">
        <v>16</v>
      </c>
      <c r="W42" s="164" t="s">
        <v>16</v>
      </c>
    </row>
    <row r="43" spans="1:23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  <c r="T43" s="178">
        <f>T39+10*LOG10(T41)</f>
        <v>-104.76350522178137</v>
      </c>
      <c r="U43" s="178">
        <f>U39+10*LOG10(U41)</f>
        <v>-104.76350522178137</v>
      </c>
      <c r="V43" s="164">
        <f>V39+10*LOG10(V41)</f>
        <v>-113.43697499232715</v>
      </c>
      <c r="W43" s="164">
        <f>W39+10*LOG10(W41)</f>
        <v>-113.43697499232715</v>
      </c>
    </row>
    <row r="44" spans="1:23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  <c r="V44" s="191" t="s">
        <v>16</v>
      </c>
      <c r="W44" s="191" t="s">
        <v>16</v>
      </c>
    </row>
    <row r="45" spans="1:23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  <c r="T45" s="182">
        <v>-5</v>
      </c>
      <c r="U45" s="182">
        <v>-5</v>
      </c>
      <c r="V45" s="169">
        <v>-6</v>
      </c>
      <c r="W45" s="169">
        <v>-6</v>
      </c>
    </row>
    <row r="46" spans="1:23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  <c r="V46" s="164" t="s">
        <v>16</v>
      </c>
      <c r="W46" s="164" t="s">
        <v>16</v>
      </c>
    </row>
    <row r="47" spans="1:23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64">
        <v>2</v>
      </c>
      <c r="W47" s="164">
        <v>2</v>
      </c>
    </row>
    <row r="48" spans="1:23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  <c r="V48" s="164">
        <v>0</v>
      </c>
      <c r="W48" s="164">
        <v>0</v>
      </c>
    </row>
    <row r="49" spans="1:2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  <c r="V49" s="191" t="s">
        <v>16</v>
      </c>
      <c r="W49" s="191" t="s">
        <v>16</v>
      </c>
    </row>
    <row r="50" spans="1:23" ht="28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  <c r="T50" s="178">
        <f>T43+T45+T47-T48</f>
        <v>-107.76350522178137</v>
      </c>
      <c r="U50" s="178">
        <f>U43+U45+U47-U48</f>
        <v>-107.76350522178137</v>
      </c>
      <c r="V50" s="164">
        <f>V43+V45+V47-V48</f>
        <v>-117.43697499232715</v>
      </c>
      <c r="W50" s="164">
        <f>W43+W45+W47-W48</f>
        <v>-117.43697499232715</v>
      </c>
    </row>
    <row r="51" spans="1:23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  <c r="V51" s="164" t="s">
        <v>16</v>
      </c>
      <c r="W51" s="164" t="s">
        <v>16</v>
      </c>
    </row>
    <row r="52" spans="1:23" ht="28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  <c r="T52" s="179">
        <f>T25+T30+T33-T34-T50</f>
        <v>146.534717768978</v>
      </c>
      <c r="U52" s="179">
        <f>U25+U30+U33-U34-U50</f>
        <v>143.534717768978</v>
      </c>
      <c r="V52" s="171">
        <f>V25+V30+V33-V34-V50</f>
        <v>157.66818753952379</v>
      </c>
      <c r="W52" s="171">
        <f>W25+W30+W33-W34-W50</f>
        <v>154.66818753952379</v>
      </c>
    </row>
    <row r="53" spans="1:23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  <c r="V53" s="193" t="s">
        <v>16</v>
      </c>
      <c r="W53" s="193" t="s">
        <v>16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68"/>
      <c r="W54" s="168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63">
        <v>7</v>
      </c>
      <c r="W55" s="163">
        <v>7</v>
      </c>
    </row>
    <row r="56" spans="1:23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  <c r="V56" s="163">
        <v>7.56</v>
      </c>
      <c r="W56" s="163">
        <v>7.56</v>
      </c>
    </row>
    <row r="57" spans="1:23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  <c r="V57" s="191" t="s">
        <v>16</v>
      </c>
      <c r="W57" s="191" t="s">
        <v>16</v>
      </c>
    </row>
    <row r="58" spans="1:23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63">
        <v>0</v>
      </c>
      <c r="W58" s="163">
        <v>0</v>
      </c>
    </row>
    <row r="59" spans="1:23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63">
        <v>26.25</v>
      </c>
      <c r="W59" s="163">
        <v>26.25</v>
      </c>
    </row>
    <row r="60" spans="1:23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63">
        <v>0</v>
      </c>
      <c r="W60" s="163">
        <v>0</v>
      </c>
    </row>
    <row r="61" spans="1:23" ht="28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  <c r="T61" s="179">
        <f>T52-T56+T58-T59+T60</f>
        <v>112.724717768978</v>
      </c>
      <c r="U61" s="179">
        <f>U52-U56+U58-U59+U60</f>
        <v>109.724717768978</v>
      </c>
      <c r="V61" s="171">
        <f>V52-V56+V58-V59+V60</f>
        <v>123.85818753952378</v>
      </c>
      <c r="W61" s="171">
        <f>W52-W56+W58-W59+W60</f>
        <v>120.85818753952378</v>
      </c>
    </row>
    <row r="62" spans="1:23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  <c r="V62" s="193" t="s">
        <v>16</v>
      </c>
      <c r="W62" s="193" t="s">
        <v>16</v>
      </c>
    </row>
    <row r="63" spans="1:23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  <c r="U63" s="2"/>
      <c r="W63" s="194"/>
    </row>
    <row r="64" spans="1:23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  <c r="T64" s="179">
        <f>T17+T22-T50+T21+T33</f>
        <v>137.76350522178137</v>
      </c>
      <c r="U64" s="179">
        <f>U17+U22-U50+U21+U33</f>
        <v>137.76350522178137</v>
      </c>
      <c r="V64" s="171">
        <f>V17+V22-V50+V21+V33</f>
        <v>152.43697499232715</v>
      </c>
      <c r="W64" s="171">
        <f>W17+W22-W50+W21+W33</f>
        <v>152.43697499232715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  <c r="V65" s="193" t="s">
        <v>16</v>
      </c>
      <c r="W65" s="193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5"/>
  <sheetViews>
    <sheetView workbookViewId="0">
      <pane xSplit="1" ySplit="1" topLeftCell="T55" activePane="bottomRight" state="frozen"/>
      <selection pane="topRight"/>
      <selection pane="bottomLeft"/>
      <selection pane="bottomRight" activeCell="V1" sqref="V1:W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3" customWidth="1"/>
    <col min="4" max="4" width="15.6640625" style="2" customWidth="1"/>
    <col min="5" max="5" width="15.6640625" style="3" customWidth="1"/>
    <col min="6" max="6" width="15.6640625" style="82" customWidth="1"/>
    <col min="7" max="11" width="15.6640625" style="3" customWidth="1"/>
    <col min="12" max="12" width="15.6640625" style="2" customWidth="1"/>
    <col min="13" max="13" width="15.6640625" style="3" customWidth="1"/>
    <col min="14" max="14" width="15.6640625" style="2" customWidth="1"/>
    <col min="15" max="15" width="15.6640625" style="3" customWidth="1"/>
    <col min="16" max="16" width="15.6640625" style="2" customWidth="1"/>
    <col min="17" max="17" width="15.6640625" style="3" customWidth="1"/>
    <col min="18" max="18" width="15.6640625" style="2" customWidth="1"/>
    <col min="19" max="19" width="15.6640625" style="3" customWidth="1"/>
    <col min="20" max="20" width="15.6640625" style="2" customWidth="1"/>
    <col min="21" max="23" width="15.6640625" style="3" customWidth="1"/>
    <col min="24" max="24" width="15.6640625" style="2" customWidth="1"/>
    <col min="25" max="25" width="15.6640625" style="3" customWidth="1"/>
    <col min="26" max="26" width="15.6640625" style="194" customWidth="1"/>
    <col min="27" max="27" width="15.6640625" style="3" customWidth="1"/>
    <col min="28" max="16384" width="9" style="3"/>
  </cols>
  <sheetData>
    <row r="1" spans="1:27" ht="14.25" customHeight="1">
      <c r="A1" s="4"/>
      <c r="B1" s="205" t="s">
        <v>100</v>
      </c>
      <c r="C1" s="205"/>
      <c r="D1" s="205" t="s">
        <v>101</v>
      </c>
      <c r="E1" s="205"/>
      <c r="F1" s="206" t="s">
        <v>113</v>
      </c>
      <c r="G1" s="206"/>
      <c r="H1" s="205" t="s">
        <v>116</v>
      </c>
      <c r="I1" s="205"/>
      <c r="J1" s="205" t="s">
        <v>122</v>
      </c>
      <c r="K1" s="205"/>
      <c r="L1" s="205" t="s">
        <v>123</v>
      </c>
      <c r="M1" s="205"/>
      <c r="N1" s="205" t="s">
        <v>124</v>
      </c>
      <c r="O1" s="205"/>
      <c r="P1" s="205" t="s">
        <v>125</v>
      </c>
      <c r="Q1" s="205"/>
      <c r="R1" s="205" t="s">
        <v>128</v>
      </c>
      <c r="S1" s="205"/>
      <c r="T1" s="205" t="s">
        <v>129</v>
      </c>
      <c r="U1" s="205"/>
      <c r="V1" s="205" t="s">
        <v>130</v>
      </c>
      <c r="W1" s="205"/>
      <c r="X1" s="205" t="s">
        <v>131</v>
      </c>
      <c r="Y1" s="205"/>
      <c r="Z1" s="207" t="s">
        <v>132</v>
      </c>
      <c r="AA1" s="207"/>
    </row>
    <row r="2" spans="1:2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84" t="s">
        <v>102</v>
      </c>
      <c r="Y2" s="185" t="s">
        <v>110</v>
      </c>
      <c r="Z2" s="174" t="s">
        <v>102</v>
      </c>
      <c r="AA2" s="198" t="s">
        <v>110</v>
      </c>
    </row>
    <row r="3" spans="1:27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2.6</v>
      </c>
      <c r="W3" s="178">
        <v>2.6</v>
      </c>
      <c r="X3" s="178">
        <v>4</v>
      </c>
      <c r="Y3" s="178">
        <v>4</v>
      </c>
      <c r="Z3" s="178">
        <v>4</v>
      </c>
      <c r="AA3" s="178">
        <v>4</v>
      </c>
    </row>
    <row r="4" spans="1:2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78">
        <v>100</v>
      </c>
      <c r="Y4" s="178">
        <v>100</v>
      </c>
      <c r="Z4" s="164">
        <v>100</v>
      </c>
      <c r="AA4" s="164">
        <v>100</v>
      </c>
    </row>
    <row r="5" spans="1:2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83" t="s">
        <v>16</v>
      </c>
      <c r="Y5" s="183" t="s">
        <v>16</v>
      </c>
      <c r="Z5" s="191" t="s">
        <v>16</v>
      </c>
      <c r="AA5" s="191" t="s">
        <v>16</v>
      </c>
    </row>
    <row r="6" spans="1:27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  <c r="X6" s="178">
        <v>1000000</v>
      </c>
      <c r="Y6" s="178">
        <v>1000000</v>
      </c>
      <c r="Z6" s="164">
        <v>1000000</v>
      </c>
      <c r="AA6" s="164">
        <v>1000000</v>
      </c>
    </row>
    <row r="7" spans="1:2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83" t="s">
        <v>16</v>
      </c>
      <c r="Y7" s="183" t="s">
        <v>16</v>
      </c>
      <c r="Z7" s="191" t="s">
        <v>16</v>
      </c>
      <c r="AA7" s="191" t="s">
        <v>16</v>
      </c>
    </row>
    <row r="8" spans="1:2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81">
        <v>0.1</v>
      </c>
      <c r="Y8" s="181">
        <v>0.1</v>
      </c>
      <c r="Z8" s="192">
        <v>0.1</v>
      </c>
      <c r="AA8" s="192">
        <v>0.1</v>
      </c>
    </row>
    <row r="9" spans="1:2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78" t="s">
        <v>22</v>
      </c>
      <c r="Y9" s="178" t="s">
        <v>22</v>
      </c>
      <c r="Z9" s="164" t="s">
        <v>22</v>
      </c>
      <c r="AA9" s="164" t="s">
        <v>22</v>
      </c>
    </row>
    <row r="10" spans="1:2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78">
        <v>3</v>
      </c>
      <c r="Y10" s="178">
        <v>3</v>
      </c>
      <c r="Z10" s="164">
        <v>3</v>
      </c>
      <c r="AA10" s="164">
        <v>3</v>
      </c>
    </row>
    <row r="11" spans="1:2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68"/>
      <c r="AA11" s="168"/>
    </row>
    <row r="12" spans="1:2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78">
        <v>1</v>
      </c>
      <c r="Y12" s="178">
        <v>1</v>
      </c>
      <c r="Z12" s="164">
        <v>1</v>
      </c>
      <c r="AA12" s="164">
        <v>1</v>
      </c>
    </row>
    <row r="13" spans="1:2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78">
        <v>64</v>
      </c>
      <c r="Y13" s="178">
        <v>64</v>
      </c>
      <c r="Z13" s="164">
        <v>64</v>
      </c>
      <c r="AA13" s="164">
        <v>64</v>
      </c>
    </row>
    <row r="14" spans="1:2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78">
        <v>1</v>
      </c>
      <c r="Y14" s="178">
        <v>1</v>
      </c>
      <c r="Z14" s="164">
        <v>1</v>
      </c>
      <c r="AA14" s="164">
        <v>1</v>
      </c>
    </row>
    <row r="15" spans="1:2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78" t="s">
        <v>16</v>
      </c>
      <c r="Y15" s="178" t="s">
        <v>16</v>
      </c>
      <c r="Z15" s="164" t="s">
        <v>16</v>
      </c>
      <c r="AA15" s="164" t="s">
        <v>16</v>
      </c>
    </row>
    <row r="16" spans="1:2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78">
        <v>23</v>
      </c>
      <c r="Y16" s="178">
        <v>23</v>
      </c>
      <c r="Z16" s="164">
        <v>23</v>
      </c>
      <c r="AA16" s="164">
        <v>23</v>
      </c>
    </row>
    <row r="17" spans="1:2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78">
        <v>23</v>
      </c>
      <c r="Y17" s="178">
        <v>23</v>
      </c>
      <c r="Z17" s="164">
        <v>23</v>
      </c>
      <c r="AA17" s="164">
        <v>23</v>
      </c>
    </row>
    <row r="18" spans="1:27" ht="42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78">
        <f>X19+10*LOG10(X12/X14)-X20</f>
        <v>0</v>
      </c>
      <c r="Y18" s="178">
        <f>Y19+10*LOG10(Y12/Y14)-Y20</f>
        <v>-3</v>
      </c>
      <c r="Z18" s="164">
        <f>Z19+10*LOG10(Z12/Z14)-Z20</f>
        <v>0</v>
      </c>
      <c r="AA18" s="164">
        <f>AA19+10*LOG10(AA12/AA14)-AA20</f>
        <v>-3</v>
      </c>
    </row>
    <row r="19" spans="1:2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78">
        <v>0</v>
      </c>
      <c r="Y19" s="178">
        <v>-3</v>
      </c>
      <c r="Z19" s="164">
        <v>0</v>
      </c>
      <c r="AA19" s="164">
        <v>-3</v>
      </c>
    </row>
    <row r="20" spans="1:2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  <c r="Z20" s="164">
        <v>0</v>
      </c>
      <c r="AA20" s="164">
        <v>0</v>
      </c>
    </row>
    <row r="21" spans="1:2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  <c r="Z21" s="164">
        <v>0</v>
      </c>
      <c r="AA21" s="164">
        <v>0</v>
      </c>
    </row>
    <row r="22" spans="1:2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78">
        <v>0</v>
      </c>
      <c r="Y22" s="178">
        <v>0</v>
      </c>
      <c r="Z22" s="164">
        <v>0</v>
      </c>
      <c r="AA22" s="164">
        <v>0</v>
      </c>
    </row>
    <row r="23" spans="1:2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  <c r="Z23" s="164">
        <v>0</v>
      </c>
      <c r="AA23" s="164">
        <v>0</v>
      </c>
    </row>
    <row r="24" spans="1:2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78">
        <v>1</v>
      </c>
      <c r="Y24" s="178">
        <v>1</v>
      </c>
      <c r="Z24" s="164">
        <v>1</v>
      </c>
      <c r="AA24" s="164">
        <v>1</v>
      </c>
    </row>
    <row r="25" spans="1:2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83" t="s">
        <v>16</v>
      </c>
      <c r="Y25" s="183" t="s">
        <v>16</v>
      </c>
      <c r="Z25" s="191" t="s">
        <v>16</v>
      </c>
      <c r="AA25" s="191" t="s">
        <v>16</v>
      </c>
    </row>
    <row r="26" spans="1:27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26">
        <v>22</v>
      </c>
      <c r="K26" s="126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78">
        <f>X17+X18+X21-X23-X24</f>
        <v>22</v>
      </c>
      <c r="Y26" s="178">
        <f>Y17+Y18+Y21-Y23-Y24</f>
        <v>19</v>
      </c>
      <c r="Z26" s="164">
        <f>Z17+Z18+Z21-Z23-Z24</f>
        <v>22</v>
      </c>
      <c r="AA26" s="164">
        <f>AA17+AA18+AA21-AA23-AA24</f>
        <v>19</v>
      </c>
    </row>
    <row r="27" spans="1:2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68"/>
      <c r="AA27" s="168"/>
    </row>
    <row r="28" spans="1:2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78">
        <v>192</v>
      </c>
      <c r="Y28" s="178">
        <v>192</v>
      </c>
      <c r="Z28" s="164">
        <v>192</v>
      </c>
      <c r="AA28" s="164">
        <v>192</v>
      </c>
    </row>
    <row r="29" spans="1:2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86">
        <v>4</v>
      </c>
      <c r="Y29" s="186">
        <v>4</v>
      </c>
      <c r="Z29" s="163">
        <v>4</v>
      </c>
      <c r="AA29" s="163">
        <v>4</v>
      </c>
    </row>
    <row r="30" spans="1:27" ht="42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24">
        <v>12.771212547196624</v>
      </c>
      <c r="K30" s="124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78">
        <f>X31+10*LOG10(X28/X13)-X32</f>
        <v>12.771212547196624</v>
      </c>
      <c r="Y30" s="178">
        <f>Y31+10*LOG10(Y28/Y13)-Y32</f>
        <v>12.771212547196624</v>
      </c>
      <c r="Z30" s="164">
        <f>Z31+10*LOG10(Z28/Z13)-Z32</f>
        <v>9.2312125471966233</v>
      </c>
      <c r="AA30" s="164">
        <f>AA31+10*LOG10(AA28/AA13)-AA32</f>
        <v>9.2312125471966233</v>
      </c>
    </row>
    <row r="31" spans="1:2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78">
        <v>8</v>
      </c>
      <c r="Y31" s="178">
        <v>8</v>
      </c>
      <c r="Z31" s="164">
        <v>8</v>
      </c>
      <c r="AA31" s="164">
        <v>8</v>
      </c>
    </row>
    <row r="32" spans="1:2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86">
        <v>0</v>
      </c>
      <c r="Y32" s="186">
        <v>0</v>
      </c>
      <c r="Z32" s="163">
        <v>3.54</v>
      </c>
      <c r="AA32" s="163">
        <v>3.54</v>
      </c>
    </row>
    <row r="33" spans="1:27" ht="28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  <c r="X33" s="182">
        <v>12</v>
      </c>
      <c r="Y33" s="182">
        <v>12</v>
      </c>
      <c r="Z33" s="169">
        <v>12</v>
      </c>
      <c r="AA33" s="169">
        <v>12</v>
      </c>
    </row>
    <row r="34" spans="1:2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78">
        <v>3</v>
      </c>
      <c r="Y34" s="178">
        <v>3</v>
      </c>
      <c r="Z34" s="164">
        <v>3</v>
      </c>
      <c r="AA34" s="164">
        <v>3</v>
      </c>
    </row>
    <row r="35" spans="1:2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78">
        <v>5</v>
      </c>
      <c r="Y35" s="178">
        <v>5</v>
      </c>
      <c r="Z35" s="164">
        <v>5</v>
      </c>
      <c r="AA35" s="164">
        <v>5</v>
      </c>
    </row>
    <row r="36" spans="1:2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78">
        <v>-174</v>
      </c>
      <c r="Y36" s="178">
        <v>-174</v>
      </c>
      <c r="Z36" s="164">
        <v>-174</v>
      </c>
      <c r="AA36" s="164">
        <v>-174</v>
      </c>
    </row>
    <row r="37" spans="1:2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78" t="s">
        <v>16</v>
      </c>
      <c r="Y37" s="178" t="s">
        <v>16</v>
      </c>
      <c r="Z37" s="164" t="s">
        <v>16</v>
      </c>
      <c r="AA37" s="164" t="s">
        <v>16</v>
      </c>
    </row>
    <row r="38" spans="1:2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  <c r="X38" s="186">
        <v>-164.03</v>
      </c>
      <c r="Y38" s="186">
        <v>-164.03</v>
      </c>
      <c r="Z38" s="163">
        <v>-999</v>
      </c>
      <c r="AA38" s="163">
        <v>-999</v>
      </c>
    </row>
    <row r="39" spans="1:27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83" t="s">
        <v>16</v>
      </c>
      <c r="Y39" s="183" t="s">
        <v>16</v>
      </c>
      <c r="Z39" s="191" t="s">
        <v>16</v>
      </c>
      <c r="AA39" s="191" t="s">
        <v>16</v>
      </c>
    </row>
    <row r="40" spans="1:27" ht="28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24">
        <v>-169.00000000000003</v>
      </c>
      <c r="K40" s="124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-169.00000000000003</v>
      </c>
      <c r="W40" s="178">
        <f t="shared" si="11"/>
        <v>-169.00000000000003</v>
      </c>
      <c r="X40" s="178">
        <f>10*LOG10(10^((X35+X36)/10)+10^(X38/10))</f>
        <v>-162.82946299127457</v>
      </c>
      <c r="Y40" s="178">
        <f>10*LOG10(10^((Y35+Y36)/10)+10^(Y38/10))</f>
        <v>-162.82946299127457</v>
      </c>
      <c r="Z40" s="164">
        <f>10*LOG10(10^((Z35+Z36)/10)+10^(Z38/10))</f>
        <v>-169.00000000000003</v>
      </c>
      <c r="AA40" s="164">
        <f>10*LOG10(10^((AA35+AA36)/10)+10^(AA38/10))</f>
        <v>-169.00000000000003</v>
      </c>
    </row>
    <row r="41" spans="1:2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78" t="s">
        <v>16</v>
      </c>
      <c r="Y41" s="178" t="s">
        <v>16</v>
      </c>
      <c r="Z41" s="164" t="s">
        <v>16</v>
      </c>
      <c r="AA41" s="164" t="s">
        <v>16</v>
      </c>
    </row>
    <row r="42" spans="1:27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12">30*360*1000</f>
        <v>10800000</v>
      </c>
      <c r="M42" s="182">
        <f t="shared" si="12"/>
        <v>10800000</v>
      </c>
      <c r="N42" s="182">
        <f t="shared" si="12"/>
        <v>10800000</v>
      </c>
      <c r="O42" s="182">
        <f t="shared" si="12"/>
        <v>10800000</v>
      </c>
      <c r="P42" s="182">
        <f t="shared" si="12"/>
        <v>10800000</v>
      </c>
      <c r="Q42" s="182">
        <f t="shared" si="12"/>
        <v>10800000</v>
      </c>
      <c r="R42" s="182">
        <f t="shared" ref="R42:W42" si="13">30*360*1000</f>
        <v>10800000</v>
      </c>
      <c r="S42" s="182">
        <f t="shared" si="13"/>
        <v>10800000</v>
      </c>
      <c r="T42" s="182">
        <f t="shared" si="13"/>
        <v>10800000</v>
      </c>
      <c r="U42" s="182">
        <f t="shared" si="13"/>
        <v>10800000</v>
      </c>
      <c r="V42" s="182">
        <f>30*360*1000</f>
        <v>10800000</v>
      </c>
      <c r="W42" s="182">
        <f>30*360*1000</f>
        <v>10800000</v>
      </c>
      <c r="X42" s="182">
        <f>32*360*1000</f>
        <v>11520000</v>
      </c>
      <c r="Y42" s="182">
        <f>32*360*1000</f>
        <v>11520000</v>
      </c>
      <c r="Z42" s="169">
        <f>30*360*1000</f>
        <v>10800000</v>
      </c>
      <c r="AA42" s="169">
        <f>30*360*1000</f>
        <v>10800000</v>
      </c>
    </row>
    <row r="43" spans="1:2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83" t="s">
        <v>16</v>
      </c>
      <c r="Y43" s="183" t="s">
        <v>16</v>
      </c>
      <c r="Z43" s="191" t="s">
        <v>16</v>
      </c>
      <c r="AA43" s="191" t="s">
        <v>16</v>
      </c>
    </row>
    <row r="44" spans="1:27">
      <c r="A44" s="8" t="s">
        <v>72</v>
      </c>
      <c r="B44" s="13">
        <f t="shared" ref="B44:I44" si="14">B40+10*LOG10(B42)</f>
        <v>-98.965394678904971</v>
      </c>
      <c r="C44" s="13">
        <f t="shared" si="14"/>
        <v>-98.965394678904971</v>
      </c>
      <c r="D44" s="13">
        <f t="shared" si="14"/>
        <v>-97.996294548824409</v>
      </c>
      <c r="E44" s="13">
        <f t="shared" si="14"/>
        <v>-97.996294548824409</v>
      </c>
      <c r="F44" s="86">
        <f t="shared" si="14"/>
        <v>-98.66576244513054</v>
      </c>
      <c r="G44" s="86">
        <f t="shared" si="14"/>
        <v>-98.66576244513054</v>
      </c>
      <c r="H44" s="13">
        <f t="shared" si="14"/>
        <v>-93.699285520497185</v>
      </c>
      <c r="I44" s="13">
        <f t="shared" si="14"/>
        <v>-93.699285520497185</v>
      </c>
      <c r="J44" s="124">
        <v>-98.66576244513054</v>
      </c>
      <c r="K44" s="124">
        <v>-98.66576244513054</v>
      </c>
      <c r="L44" s="178">
        <f t="shared" ref="L44:Q44" si="15">L40+10*LOG10(L42)</f>
        <v>-93.699285520497185</v>
      </c>
      <c r="M44" s="178">
        <f t="shared" si="15"/>
        <v>-93.699285520497185</v>
      </c>
      <c r="N44" s="176">
        <f t="shared" si="15"/>
        <v>-98.66576244513054</v>
      </c>
      <c r="O44" s="176">
        <f t="shared" si="15"/>
        <v>-98.66576244513054</v>
      </c>
      <c r="P44" s="176">
        <f t="shared" si="15"/>
        <v>-93.699285520497185</v>
      </c>
      <c r="Q44" s="176">
        <f t="shared" si="15"/>
        <v>-93.699285520497185</v>
      </c>
      <c r="R44" s="176">
        <f t="shared" ref="R44:W44" si="16">R40+10*LOG10(R42)</f>
        <v>-98.66576244513054</v>
      </c>
      <c r="S44" s="176">
        <f t="shared" si="16"/>
        <v>-98.66576244513054</v>
      </c>
      <c r="T44" s="178">
        <f t="shared" si="16"/>
        <v>-98.66576244513054</v>
      </c>
      <c r="U44" s="178">
        <f t="shared" si="16"/>
        <v>-98.66576244513054</v>
      </c>
      <c r="V44" s="178">
        <f t="shared" si="16"/>
        <v>-98.66576244513054</v>
      </c>
      <c r="W44" s="178">
        <f t="shared" si="16"/>
        <v>-98.66576244513054</v>
      </c>
      <c r="X44" s="178">
        <f>X40+10*LOG10(X42)</f>
        <v>-92.214938200402642</v>
      </c>
      <c r="Y44" s="178">
        <f>Y40+10*LOG10(Y42)</f>
        <v>-92.214938200402642</v>
      </c>
      <c r="Z44" s="164">
        <f>Z40+10*LOG10(Z42)</f>
        <v>-98.66576244513054</v>
      </c>
      <c r="AA44" s="164">
        <f>AA40+10*LOG10(AA42)</f>
        <v>-98.66576244513054</v>
      </c>
    </row>
    <row r="45" spans="1:2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78" t="s">
        <v>16</v>
      </c>
      <c r="Y45" s="178" t="s">
        <v>16</v>
      </c>
      <c r="Z45" s="164" t="s">
        <v>16</v>
      </c>
      <c r="AA45" s="164" t="s">
        <v>16</v>
      </c>
    </row>
    <row r="46" spans="1:27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-4.46</v>
      </c>
      <c r="W46" s="182">
        <v>-4.46</v>
      </c>
      <c r="X46" s="182">
        <v>-6</v>
      </c>
      <c r="Y46" s="182">
        <v>-6</v>
      </c>
      <c r="Z46" s="169">
        <v>-3.8</v>
      </c>
      <c r="AA46" s="169">
        <v>-3.8</v>
      </c>
    </row>
    <row r="47" spans="1:2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78">
        <v>2</v>
      </c>
      <c r="Y47" s="178">
        <v>2</v>
      </c>
      <c r="Z47" s="164">
        <v>2</v>
      </c>
      <c r="AA47" s="164">
        <v>2</v>
      </c>
    </row>
    <row r="48" spans="1:27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78" t="s">
        <v>16</v>
      </c>
      <c r="Y48" s="178" t="s">
        <v>16</v>
      </c>
      <c r="Z48" s="164" t="s">
        <v>16</v>
      </c>
      <c r="AA48" s="164" t="s">
        <v>16</v>
      </c>
    </row>
    <row r="49" spans="1:2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78">
        <v>0</v>
      </c>
      <c r="Y49" s="178">
        <v>0</v>
      </c>
      <c r="Z49" s="164">
        <v>0</v>
      </c>
      <c r="AA49" s="164">
        <v>0</v>
      </c>
    </row>
    <row r="50" spans="1:27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83" t="s">
        <v>16</v>
      </c>
      <c r="Y50" s="183" t="s">
        <v>16</v>
      </c>
      <c r="Z50" s="191" t="s">
        <v>16</v>
      </c>
      <c r="AA50" s="191" t="s">
        <v>16</v>
      </c>
    </row>
    <row r="51" spans="1:27" ht="28">
      <c r="A51" s="8" t="s">
        <v>82</v>
      </c>
      <c r="B51" s="13">
        <f t="shared" ref="B51:I51" si="17">B44+B46+B47-B49</f>
        <v>-98.265394678904968</v>
      </c>
      <c r="C51" s="13">
        <f t="shared" si="17"/>
        <v>-98.265394678904968</v>
      </c>
      <c r="D51" s="13">
        <f t="shared" si="17"/>
        <v>-102.15629454882441</v>
      </c>
      <c r="E51" s="13">
        <f t="shared" si="17"/>
        <v>-102.15629454882441</v>
      </c>
      <c r="F51" s="86">
        <f t="shared" si="17"/>
        <v>-103.23576244513055</v>
      </c>
      <c r="G51" s="86">
        <f t="shared" si="17"/>
        <v>-103.19576244513054</v>
      </c>
      <c r="H51" s="13">
        <f t="shared" si="17"/>
        <v>-92.449285520497185</v>
      </c>
      <c r="I51" s="13">
        <f t="shared" si="17"/>
        <v>-92.619285520497186</v>
      </c>
      <c r="J51" s="124">
        <v>-108.86576244513054</v>
      </c>
      <c r="K51" s="124">
        <v>-108.86576244513054</v>
      </c>
      <c r="L51" s="178">
        <f t="shared" ref="L51:Q51" si="18">L44+L46+L47-L49</f>
        <v>-93.969285520497181</v>
      </c>
      <c r="M51" s="178">
        <f t="shared" si="18"/>
        <v>-93.969285520497181</v>
      </c>
      <c r="N51" s="176">
        <f t="shared" si="18"/>
        <v>-103.00576244513054</v>
      </c>
      <c r="O51" s="176">
        <f t="shared" si="18"/>
        <v>-103.00576244513054</v>
      </c>
      <c r="P51" s="176">
        <f t="shared" si="18"/>
        <v>-96.259285520497187</v>
      </c>
      <c r="Q51" s="176">
        <f t="shared" si="18"/>
        <v>-96.259285520497187</v>
      </c>
      <c r="R51" s="176">
        <f t="shared" ref="R51:W51" si="19">R44+R46+R47-R49</f>
        <v>-101.66576244513054</v>
      </c>
      <c r="S51" s="176">
        <f t="shared" si="19"/>
        <v>-101.66576244513054</v>
      </c>
      <c r="T51" s="178">
        <f t="shared" si="19"/>
        <v>-107.26576244513053</v>
      </c>
      <c r="U51" s="178">
        <f t="shared" si="19"/>
        <v>-107.26576244513053</v>
      </c>
      <c r="V51" s="178">
        <f t="shared" si="19"/>
        <v>-101.12576244513053</v>
      </c>
      <c r="W51" s="178">
        <f t="shared" si="19"/>
        <v>-101.12576244513053</v>
      </c>
      <c r="X51" s="178">
        <f>X44+X46+X47-X49</f>
        <v>-96.214938200402642</v>
      </c>
      <c r="Y51" s="178">
        <f>Y44+Y46+Y47-Y49</f>
        <v>-96.214938200402642</v>
      </c>
      <c r="Z51" s="164">
        <f>Z44+Z46+Z47-Z49</f>
        <v>-100.46576244513054</v>
      </c>
      <c r="AA51" s="164">
        <f>AA44+AA46+AA47-AA49</f>
        <v>-100.46576244513054</v>
      </c>
    </row>
    <row r="52" spans="1:27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5" t="s">
        <v>16</v>
      </c>
      <c r="Y52" s="195" t="s">
        <v>16</v>
      </c>
      <c r="Z52" s="193" t="s">
        <v>16</v>
      </c>
      <c r="AA52" s="193" t="s">
        <v>16</v>
      </c>
    </row>
    <row r="53" spans="1:27" ht="28">
      <c r="A53" s="45" t="s">
        <v>85</v>
      </c>
      <c r="B53" s="23">
        <f t="shared" ref="B53:I53" si="20">B26+B30+B33-B34-B51</f>
        <v>142.03660722610158</v>
      </c>
      <c r="C53" s="23">
        <f t="shared" si="20"/>
        <v>139.03660722610158</v>
      </c>
      <c r="D53" s="23">
        <f t="shared" si="20"/>
        <v>143.01750709602103</v>
      </c>
      <c r="E53" s="23">
        <f t="shared" si="20"/>
        <v>140.01750709602103</v>
      </c>
      <c r="F53" s="90">
        <f t="shared" si="20"/>
        <v>147.00697499232717</v>
      </c>
      <c r="G53" s="90">
        <f t="shared" si="20"/>
        <v>143.96697499232715</v>
      </c>
      <c r="H53" s="23">
        <f t="shared" si="20"/>
        <v>139.27199785089289</v>
      </c>
      <c r="I53" s="23">
        <f t="shared" si="20"/>
        <v>136.44199785089288</v>
      </c>
      <c r="J53" s="127">
        <v>152.63697499232717</v>
      </c>
      <c r="K53" s="127">
        <v>149.63697499232717</v>
      </c>
      <c r="L53" s="179">
        <f t="shared" ref="L53:Q53" si="21">L26+L30+L33-L34-L51</f>
        <v>140.79049806769382</v>
      </c>
      <c r="M53" s="179">
        <f t="shared" si="21"/>
        <v>137.79049806769382</v>
      </c>
      <c r="N53" s="179">
        <f t="shared" si="21"/>
        <v>146.77697499232715</v>
      </c>
      <c r="O53" s="179">
        <f t="shared" si="21"/>
        <v>143.77697499232715</v>
      </c>
      <c r="P53" s="179">
        <f t="shared" si="21"/>
        <v>140.03049806769383</v>
      </c>
      <c r="Q53" s="179">
        <f t="shared" si="21"/>
        <v>137.03049806769383</v>
      </c>
      <c r="R53" s="179">
        <f t="shared" ref="R53:W53" si="22">R26+R30+R33-R34-R51</f>
        <v>145.43697499232718</v>
      </c>
      <c r="S53" s="179">
        <f t="shared" si="22"/>
        <v>142.43697499232718</v>
      </c>
      <c r="T53" s="179">
        <f t="shared" si="22"/>
        <v>144.03697499232715</v>
      </c>
      <c r="U53" s="179">
        <f t="shared" si="22"/>
        <v>141.03697499232715</v>
      </c>
      <c r="V53" s="179">
        <f t="shared" si="22"/>
        <v>144.89697499232716</v>
      </c>
      <c r="W53" s="179">
        <f t="shared" si="22"/>
        <v>141.89697499232716</v>
      </c>
      <c r="X53" s="179">
        <f>X26+X30+X33-X34-X51</f>
        <v>139.98615074759925</v>
      </c>
      <c r="Y53" s="179">
        <f>Y26+Y30+Y33-Y34-Y51</f>
        <v>136.98615074759925</v>
      </c>
      <c r="Z53" s="171">
        <f>Z26+Z30+Z33-Z34-Z51</f>
        <v>140.69697499232717</v>
      </c>
      <c r="AA53" s="171">
        <f>AA26+AA30+AA33-AA34-AA51</f>
        <v>137.69697499232717</v>
      </c>
    </row>
    <row r="54" spans="1:2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68"/>
      <c r="AA54" s="168"/>
    </row>
    <row r="55" spans="1:2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86">
        <v>7</v>
      </c>
      <c r="Y55" s="186">
        <v>7</v>
      </c>
      <c r="Z55" s="163">
        <v>7</v>
      </c>
      <c r="AA55" s="163">
        <v>7</v>
      </c>
    </row>
    <row r="56" spans="1:27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83" t="s">
        <v>16</v>
      </c>
      <c r="Y56" s="183" t="s">
        <v>16</v>
      </c>
      <c r="Z56" s="191" t="s">
        <v>16</v>
      </c>
      <c r="AA56" s="191" t="s">
        <v>16</v>
      </c>
    </row>
    <row r="57" spans="1:27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86">
        <v>4.4800000000000004</v>
      </c>
      <c r="Y57" s="186">
        <v>4.4800000000000004</v>
      </c>
      <c r="Z57" s="163">
        <v>4.4800000000000004</v>
      </c>
      <c r="AA57" s="163">
        <v>4.4800000000000004</v>
      </c>
    </row>
    <row r="58" spans="1:2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86">
        <v>0</v>
      </c>
      <c r="Y58" s="186">
        <v>0</v>
      </c>
      <c r="Z58" s="163">
        <v>0</v>
      </c>
      <c r="AA58" s="163">
        <v>0</v>
      </c>
    </row>
    <row r="59" spans="1:2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86">
        <v>26.25</v>
      </c>
      <c r="Y59" s="186">
        <v>26.25</v>
      </c>
      <c r="Z59" s="163">
        <v>26.25</v>
      </c>
      <c r="AA59" s="163">
        <v>26.25</v>
      </c>
    </row>
    <row r="60" spans="1:2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  <c r="Z60" s="163">
        <v>0</v>
      </c>
      <c r="AA60" s="163">
        <v>0</v>
      </c>
    </row>
    <row r="61" spans="1:27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5" t="s">
        <v>16</v>
      </c>
      <c r="Y61" s="195" t="s">
        <v>16</v>
      </c>
      <c r="Z61" s="193" t="s">
        <v>16</v>
      </c>
      <c r="AA61" s="193" t="s">
        <v>16</v>
      </c>
    </row>
    <row r="62" spans="1:27" ht="28">
      <c r="A62" s="45" t="s">
        <v>109</v>
      </c>
      <c r="B62" s="23">
        <f t="shared" ref="B62:I62" si="23">B53-B57+B58-B59+B60</f>
        <v>111.30660722610159</v>
      </c>
      <c r="C62" s="23">
        <f t="shared" si="23"/>
        <v>108.30660722610159</v>
      </c>
      <c r="D62" s="23">
        <f t="shared" si="23"/>
        <v>112.28750709602105</v>
      </c>
      <c r="E62" s="23">
        <f t="shared" si="23"/>
        <v>109.28750709602105</v>
      </c>
      <c r="F62" s="90">
        <f t="shared" si="23"/>
        <v>116.27697499232718</v>
      </c>
      <c r="G62" s="90">
        <f t="shared" si="23"/>
        <v>113.23697499232716</v>
      </c>
      <c r="H62" s="23">
        <f t="shared" si="23"/>
        <v>108.5419978508929</v>
      </c>
      <c r="I62" s="23">
        <f t="shared" si="23"/>
        <v>105.71199785089289</v>
      </c>
      <c r="J62" s="127">
        <v>121.90697499232718</v>
      </c>
      <c r="K62" s="127">
        <v>118.90697499232718</v>
      </c>
      <c r="L62" s="179">
        <f t="shared" ref="L62:Q62" si="24">L53-L57+L58-L59+L60</f>
        <v>110.06049806769383</v>
      </c>
      <c r="M62" s="179">
        <f t="shared" si="24"/>
        <v>107.06049806769383</v>
      </c>
      <c r="N62" s="179">
        <f t="shared" si="24"/>
        <v>116.04697499232716</v>
      </c>
      <c r="O62" s="179">
        <f t="shared" si="24"/>
        <v>113.04697499232716</v>
      </c>
      <c r="P62" s="179">
        <f t="shared" si="24"/>
        <v>109.30049806769384</v>
      </c>
      <c r="Q62" s="179">
        <f t="shared" si="24"/>
        <v>106.30049806769384</v>
      </c>
      <c r="R62" s="179">
        <f t="shared" ref="R62:W62" si="25">R53-R57+R58-R59+R60</f>
        <v>114.70697499232719</v>
      </c>
      <c r="S62" s="179">
        <f t="shared" si="25"/>
        <v>111.70697499232719</v>
      </c>
      <c r="T62" s="179">
        <f t="shared" si="25"/>
        <v>113.30697499232716</v>
      </c>
      <c r="U62" s="179">
        <f t="shared" si="25"/>
        <v>110.30697499232716</v>
      </c>
      <c r="V62" s="179">
        <f t="shared" si="25"/>
        <v>114.16697499232717</v>
      </c>
      <c r="W62" s="179">
        <f t="shared" si="25"/>
        <v>111.16697499232717</v>
      </c>
      <c r="X62" s="179">
        <f>X53-X57+X58-X59+X60</f>
        <v>109.25615074759926</v>
      </c>
      <c r="Y62" s="179">
        <f>Y53-Y57+Y58-Y59+Y60</f>
        <v>106.25615074759926</v>
      </c>
      <c r="Z62" s="171">
        <f>Z53-Z57+Z58-Z59+Z60</f>
        <v>109.96697499232718</v>
      </c>
      <c r="AA62" s="171">
        <f>AA53-AA57+AA58-AA59+AA60</f>
        <v>106.96697499232718</v>
      </c>
    </row>
    <row r="63" spans="1:27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200"/>
      <c r="AA63" s="200"/>
    </row>
    <row r="64" spans="1:2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5" t="s">
        <v>16</v>
      </c>
      <c r="Y64" s="195" t="s">
        <v>16</v>
      </c>
      <c r="Z64" s="193" t="s">
        <v>16</v>
      </c>
      <c r="AA64" s="193" t="s">
        <v>16</v>
      </c>
    </row>
    <row r="65" spans="1:27">
      <c r="A65" s="45" t="s">
        <v>98</v>
      </c>
      <c r="B65" s="23">
        <f t="shared" ref="B65:I65" si="26">B17-B23-B51+B21+B33</f>
        <v>133.26539467890495</v>
      </c>
      <c r="C65" s="23">
        <f t="shared" si="26"/>
        <v>133.26539467890495</v>
      </c>
      <c r="D65" s="23">
        <f t="shared" si="26"/>
        <v>137.1962945488244</v>
      </c>
      <c r="E65" s="23">
        <f t="shared" si="26"/>
        <v>137.1962945488244</v>
      </c>
      <c r="F65" s="90">
        <f t="shared" si="26"/>
        <v>138.23576244513055</v>
      </c>
      <c r="G65" s="90">
        <f t="shared" si="26"/>
        <v>138.19576244513053</v>
      </c>
      <c r="H65" s="23">
        <f t="shared" si="26"/>
        <v>130.50078530369623</v>
      </c>
      <c r="I65" s="23">
        <f t="shared" si="26"/>
        <v>130.67078530369625</v>
      </c>
      <c r="J65" s="127">
        <v>143.86576244513054</v>
      </c>
      <c r="K65" s="127">
        <v>143.86576244513054</v>
      </c>
      <c r="L65" s="179">
        <f t="shared" ref="L65:Q65" si="27">L17-L23-L51+L21+L33</f>
        <v>132.01928552049719</v>
      </c>
      <c r="M65" s="179">
        <f t="shared" si="27"/>
        <v>132.01928552049719</v>
      </c>
      <c r="N65" s="179">
        <f t="shared" si="27"/>
        <v>138.00576244513053</v>
      </c>
      <c r="O65" s="179">
        <f t="shared" si="27"/>
        <v>138.00576244513053</v>
      </c>
      <c r="P65" s="179">
        <f t="shared" si="27"/>
        <v>131.2592855204972</v>
      </c>
      <c r="Q65" s="179">
        <f t="shared" si="27"/>
        <v>131.2592855204972</v>
      </c>
      <c r="R65" s="179">
        <f t="shared" ref="R65:W65" si="28">R17-R23-R51+R21+R33</f>
        <v>136.66576244513055</v>
      </c>
      <c r="S65" s="179">
        <f t="shared" si="28"/>
        <v>136.66576244513055</v>
      </c>
      <c r="T65" s="179">
        <f t="shared" si="28"/>
        <v>139.26576244513052</v>
      </c>
      <c r="U65" s="179">
        <f t="shared" si="28"/>
        <v>139.26576244513052</v>
      </c>
      <c r="V65" s="179">
        <f t="shared" si="28"/>
        <v>136.12576244513053</v>
      </c>
      <c r="W65" s="179">
        <f t="shared" si="28"/>
        <v>136.12576244513053</v>
      </c>
      <c r="X65" s="179">
        <f>X17-X23-X51+X21+X33</f>
        <v>131.21493820040263</v>
      </c>
      <c r="Y65" s="179">
        <f>Y17-Y23-Y51+Y21+Y33</f>
        <v>131.21493820040263</v>
      </c>
      <c r="Z65" s="171">
        <f>Z17-Z23-Z51+Z21+Z33</f>
        <v>135.46576244513054</v>
      </c>
      <c r="AA65" s="171">
        <f>AA17-AA23-AA51+AA21+AA33</f>
        <v>135.46576244513054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65"/>
  <sheetViews>
    <sheetView workbookViewId="0">
      <pane xSplit="1" ySplit="1" topLeftCell="AD54" activePane="bottomRight" state="frozen"/>
      <selection pane="topRight"/>
      <selection pane="bottomLeft"/>
      <selection pane="bottomRight" activeCell="AE1" sqref="AE1:AG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3" customWidth="1"/>
    <col min="5" max="5" width="15.6640625" style="2" customWidth="1"/>
    <col min="6" max="6" width="15.6640625" style="3" customWidth="1"/>
    <col min="7" max="7" width="15.6640625" style="82" customWidth="1"/>
    <col min="8" max="15" width="15.6640625" style="3" customWidth="1"/>
    <col min="16" max="16" width="15.6640625" style="2" customWidth="1"/>
    <col min="17" max="18" width="15.6640625" style="3" customWidth="1"/>
    <col min="19" max="19" width="15.6640625" style="2" customWidth="1"/>
    <col min="20" max="21" width="15.6640625" style="3" customWidth="1"/>
    <col min="22" max="22" width="15.6640625" style="2" customWidth="1"/>
    <col min="23" max="24" width="15.6640625" style="3" customWidth="1"/>
    <col min="25" max="25" width="15.6640625" style="2" customWidth="1"/>
    <col min="26" max="27" width="15.6640625" style="3" customWidth="1"/>
    <col min="28" max="28" width="15.6640625" style="2" customWidth="1"/>
    <col min="29" max="33" width="15.6640625" style="3" customWidth="1"/>
    <col min="34" max="34" width="15.6640625" style="2" customWidth="1"/>
    <col min="35" max="36" width="15.6640625" style="3" customWidth="1"/>
    <col min="37" max="37" width="15.6640625" style="194" customWidth="1"/>
    <col min="38" max="38" width="15.6640625" style="3" customWidth="1"/>
    <col min="39" max="16384" width="9" style="3"/>
  </cols>
  <sheetData>
    <row r="1" spans="1:38" ht="14.25" customHeight="1">
      <c r="A1" s="4"/>
      <c r="B1" s="205" t="s">
        <v>100</v>
      </c>
      <c r="C1" s="205"/>
      <c r="D1" s="205"/>
      <c r="E1" s="205" t="s">
        <v>101</v>
      </c>
      <c r="F1" s="205"/>
      <c r="G1" s="206" t="s">
        <v>113</v>
      </c>
      <c r="H1" s="206"/>
      <c r="I1" s="206"/>
      <c r="J1" s="205" t="s">
        <v>116</v>
      </c>
      <c r="K1" s="205"/>
      <c r="L1" s="205"/>
      <c r="M1" s="205" t="s">
        <v>122</v>
      </c>
      <c r="N1" s="205"/>
      <c r="O1" s="205"/>
      <c r="P1" s="205" t="s">
        <v>123</v>
      </c>
      <c r="Q1" s="205"/>
      <c r="R1" s="205"/>
      <c r="S1" s="205" t="s">
        <v>124</v>
      </c>
      <c r="T1" s="205"/>
      <c r="U1" s="205"/>
      <c r="V1" s="205" t="s">
        <v>126</v>
      </c>
      <c r="W1" s="205"/>
      <c r="X1" s="205"/>
      <c r="Y1" s="205" t="s">
        <v>128</v>
      </c>
      <c r="Z1" s="205"/>
      <c r="AA1" s="205"/>
      <c r="AB1" s="205" t="s">
        <v>129</v>
      </c>
      <c r="AC1" s="205"/>
      <c r="AD1" s="205"/>
      <c r="AE1" s="205" t="s">
        <v>130</v>
      </c>
      <c r="AF1" s="205"/>
      <c r="AG1" s="205"/>
      <c r="AH1" s="205" t="s">
        <v>131</v>
      </c>
      <c r="AI1" s="205"/>
      <c r="AJ1" s="205"/>
      <c r="AK1" s="205" t="s">
        <v>132</v>
      </c>
      <c r="AL1" s="205"/>
    </row>
    <row r="2" spans="1:38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  <c r="AK2" s="174" t="s">
        <v>102</v>
      </c>
      <c r="AL2" s="198" t="s">
        <v>103</v>
      </c>
    </row>
    <row r="3" spans="1:38">
      <c r="A3" s="8" t="s">
        <v>11</v>
      </c>
      <c r="B3" s="9">
        <v>4</v>
      </c>
      <c r="C3" s="178">
        <v>4</v>
      </c>
      <c r="D3" s="178">
        <v>4</v>
      </c>
      <c r="E3" s="178">
        <v>4</v>
      </c>
      <c r="F3" s="178">
        <v>4</v>
      </c>
      <c r="G3" s="178">
        <v>4</v>
      </c>
      <c r="H3" s="178">
        <v>4</v>
      </c>
      <c r="I3" s="178">
        <v>4</v>
      </c>
      <c r="J3" s="178">
        <v>4</v>
      </c>
      <c r="K3" s="178">
        <v>4</v>
      </c>
      <c r="L3" s="178">
        <v>4</v>
      </c>
      <c r="M3" s="178">
        <v>4</v>
      </c>
      <c r="N3" s="178">
        <v>4</v>
      </c>
      <c r="O3" s="178">
        <v>4</v>
      </c>
      <c r="P3" s="178">
        <v>4</v>
      </c>
      <c r="Q3" s="178">
        <v>4</v>
      </c>
      <c r="R3" s="178">
        <v>4</v>
      </c>
      <c r="S3" s="178">
        <v>4</v>
      </c>
      <c r="T3" s="178">
        <v>4</v>
      </c>
      <c r="U3" s="178">
        <v>4</v>
      </c>
      <c r="V3" s="178">
        <v>4</v>
      </c>
      <c r="W3" s="178">
        <v>4</v>
      </c>
      <c r="X3" s="178">
        <v>4</v>
      </c>
      <c r="Y3" s="178">
        <v>4</v>
      </c>
      <c r="Z3" s="178">
        <v>4</v>
      </c>
      <c r="AA3" s="178">
        <v>4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  <c r="AK3" s="178">
        <v>4</v>
      </c>
      <c r="AL3" s="178">
        <v>4</v>
      </c>
    </row>
    <row r="4" spans="1:38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  <c r="AK4" s="164">
        <v>100</v>
      </c>
      <c r="AL4" s="164">
        <v>100</v>
      </c>
    </row>
    <row r="5" spans="1:38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  <c r="AK5" s="191" t="s">
        <v>16</v>
      </c>
      <c r="AL5" s="191" t="s">
        <v>16</v>
      </c>
    </row>
    <row r="6" spans="1:38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83" t="s">
        <v>16</v>
      </c>
      <c r="AI6" s="183" t="s">
        <v>16</v>
      </c>
      <c r="AJ6" s="183" t="s">
        <v>16</v>
      </c>
      <c r="AK6" s="191" t="s">
        <v>16</v>
      </c>
      <c r="AL6" s="191" t="s">
        <v>16</v>
      </c>
    </row>
    <row r="7" spans="1:38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81">
        <v>0.01</v>
      </c>
      <c r="AI7" s="181">
        <v>0.01</v>
      </c>
      <c r="AJ7" s="181">
        <v>0.01</v>
      </c>
      <c r="AK7" s="192">
        <v>0.01</v>
      </c>
      <c r="AL7" s="192">
        <v>0.01</v>
      </c>
    </row>
    <row r="8" spans="1:38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83" t="s">
        <v>16</v>
      </c>
      <c r="AI8" s="183" t="s">
        <v>16</v>
      </c>
      <c r="AJ8" s="183" t="s">
        <v>16</v>
      </c>
      <c r="AK8" s="191" t="s">
        <v>16</v>
      </c>
      <c r="AL8" s="191" t="s">
        <v>16</v>
      </c>
    </row>
    <row r="9" spans="1:38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  <c r="AK9" s="164" t="s">
        <v>22</v>
      </c>
      <c r="AL9" s="164" t="s">
        <v>22</v>
      </c>
    </row>
    <row r="10" spans="1:38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  <c r="AK10" s="164">
        <v>3</v>
      </c>
      <c r="AL10" s="164">
        <v>3</v>
      </c>
    </row>
    <row r="11" spans="1:38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77"/>
      <c r="AI11" s="177"/>
      <c r="AJ11" s="177"/>
      <c r="AK11" s="168"/>
      <c r="AL11" s="168"/>
    </row>
    <row r="12" spans="1:38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  <c r="AK12" s="164">
        <v>192</v>
      </c>
      <c r="AL12" s="164">
        <v>192</v>
      </c>
    </row>
    <row r="13" spans="1:38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  <c r="AK13" s="164">
        <v>64</v>
      </c>
      <c r="AL13" s="164">
        <v>64</v>
      </c>
    </row>
    <row r="14" spans="1:38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  <c r="AK14" s="163">
        <v>4</v>
      </c>
      <c r="AL14" s="163">
        <v>4</v>
      </c>
    </row>
    <row r="15" spans="1:38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199">
        <v>24</v>
      </c>
      <c r="AI15" s="199">
        <v>24</v>
      </c>
      <c r="AJ15" s="199">
        <v>24</v>
      </c>
      <c r="AK15" s="163">
        <v>24</v>
      </c>
      <c r="AL15" s="163">
        <v>24</v>
      </c>
    </row>
    <row r="16" spans="1:38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ref="AE16:AL16" si="4">AH15+10*LOG10(AH4)</f>
        <v>44</v>
      </c>
      <c r="AI16" s="178">
        <f t="shared" si="4"/>
        <v>44</v>
      </c>
      <c r="AJ16" s="178">
        <f t="shared" si="4"/>
        <v>44</v>
      </c>
      <c r="AK16" s="164">
        <f t="shared" si="4"/>
        <v>44</v>
      </c>
      <c r="AL16" s="164">
        <f t="shared" si="4"/>
        <v>44</v>
      </c>
    </row>
    <row r="17" spans="1:38" ht="28">
      <c r="A17" s="8" t="s">
        <v>35</v>
      </c>
      <c r="B17" s="29">
        <f t="shared" ref="B17:L17" si="5">B15+10*LOG10(B41/1000000)</f>
        <v>45.375437381428746</v>
      </c>
      <c r="C17" s="29">
        <f t="shared" si="5"/>
        <v>45.375437381428746</v>
      </c>
      <c r="D17" s="29">
        <f t="shared" si="5"/>
        <v>45.375437381428746</v>
      </c>
      <c r="E17" s="29">
        <f t="shared" si="5"/>
        <v>36.375437381428746</v>
      </c>
      <c r="F17" s="29">
        <f t="shared" si="5"/>
        <v>36.375437381428746</v>
      </c>
      <c r="G17" s="73">
        <f t="shared" si="5"/>
        <v>36.375437381428746</v>
      </c>
      <c r="H17" s="73">
        <f t="shared" si="5"/>
        <v>36.375437381428746</v>
      </c>
      <c r="I17" s="73">
        <f t="shared" si="5"/>
        <v>36.375437381428746</v>
      </c>
      <c r="J17" s="13">
        <f t="shared" si="5"/>
        <v>45.375437381428746</v>
      </c>
      <c r="K17" s="13">
        <f t="shared" si="5"/>
        <v>45.375437381428746</v>
      </c>
      <c r="L17" s="13">
        <f t="shared" si="5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6">P15+10*LOG10(P41/1000000)</f>
        <v>45.375437381428746</v>
      </c>
      <c r="Q17" s="164">
        <f t="shared" si="6"/>
        <v>45.375437381428746</v>
      </c>
      <c r="R17" s="164">
        <f t="shared" si="6"/>
        <v>45.375437381428746</v>
      </c>
      <c r="S17" s="166">
        <f t="shared" si="6"/>
        <v>36.375437381428746</v>
      </c>
      <c r="T17" s="166">
        <f t="shared" si="6"/>
        <v>36.375437381428746</v>
      </c>
      <c r="U17" s="166">
        <f t="shared" si="6"/>
        <v>36.375437381428746</v>
      </c>
      <c r="V17" s="166">
        <f t="shared" ref="V17:AA17" si="7">V15+10*LOG10(V41/1000000)</f>
        <v>45.375437381428746</v>
      </c>
      <c r="W17" s="166">
        <f t="shared" si="7"/>
        <v>45.375437381428746</v>
      </c>
      <c r="X17" s="166">
        <f t="shared" si="7"/>
        <v>45.375437381428746</v>
      </c>
      <c r="Y17" s="166">
        <f t="shared" si="7"/>
        <v>36.375437381428746</v>
      </c>
      <c r="Z17" s="166">
        <f t="shared" si="7"/>
        <v>36.375437381428746</v>
      </c>
      <c r="AA17" s="166">
        <f t="shared" si="7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G17" si="8">AE15+10*LOG10(AE41/1000000)</f>
        <v>36.375437381428746</v>
      </c>
      <c r="AF17" s="164">
        <f t="shared" si="8"/>
        <v>36.375437381428746</v>
      </c>
      <c r="AG17" s="164">
        <f t="shared" si="8"/>
        <v>36.375437381428746</v>
      </c>
      <c r="AH17" s="178">
        <f t="shared" ref="AE17:AL17" si="9">AH15+10*LOG10(AH41/1000000)</f>
        <v>36.375437381428746</v>
      </c>
      <c r="AI17" s="178">
        <f t="shared" si="9"/>
        <v>36.375437381428746</v>
      </c>
      <c r="AJ17" s="178">
        <f t="shared" si="9"/>
        <v>36.375437381428746</v>
      </c>
      <c r="AK17" s="164">
        <f t="shared" si="9"/>
        <v>36.375437381428746</v>
      </c>
      <c r="AL17" s="164">
        <f t="shared" si="9"/>
        <v>36.375437381428746</v>
      </c>
    </row>
    <row r="18" spans="1:38" ht="42">
      <c r="A18" s="15" t="s">
        <v>37</v>
      </c>
      <c r="B18" s="29">
        <f t="shared" ref="B18:L18" si="10">B19+10*LOG10(B12/B13)-B20</f>
        <v>12.771212547196624</v>
      </c>
      <c r="C18" s="29">
        <f t="shared" si="10"/>
        <v>12.771212547196624</v>
      </c>
      <c r="D18" s="29">
        <f t="shared" si="10"/>
        <v>12.771212547196624</v>
      </c>
      <c r="E18" s="29">
        <f t="shared" si="10"/>
        <v>9.8212125471966232</v>
      </c>
      <c r="F18" s="29">
        <f t="shared" si="10"/>
        <v>9.8212125471966232</v>
      </c>
      <c r="G18" s="73">
        <f t="shared" si="10"/>
        <v>12.771212547196624</v>
      </c>
      <c r="H18" s="73">
        <f t="shared" si="10"/>
        <v>12.771212547196624</v>
      </c>
      <c r="I18" s="73">
        <f t="shared" si="10"/>
        <v>12.771212547196624</v>
      </c>
      <c r="J18" s="13">
        <f t="shared" si="10"/>
        <v>10.121212547196624</v>
      </c>
      <c r="K18" s="13">
        <f t="shared" si="10"/>
        <v>10.121212547196624</v>
      </c>
      <c r="L18" s="13">
        <f t="shared" si="10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11">P19+10*LOG10(P12/P13)-P20</f>
        <v>12.771212547196624</v>
      </c>
      <c r="Q18" s="164">
        <f t="shared" si="11"/>
        <v>12.771212547196624</v>
      </c>
      <c r="R18" s="164">
        <f t="shared" si="11"/>
        <v>12.771212547196624</v>
      </c>
      <c r="S18" s="166">
        <f t="shared" si="11"/>
        <v>12.771212547196624</v>
      </c>
      <c r="T18" s="166">
        <f t="shared" si="11"/>
        <v>12.771212547196624</v>
      </c>
      <c r="U18" s="166">
        <f t="shared" si="11"/>
        <v>12.771212547196624</v>
      </c>
      <c r="V18" s="166">
        <f t="shared" ref="V18:AA18" si="12">V19+10*LOG10(V12/V13)-V20</f>
        <v>12.771212547196624</v>
      </c>
      <c r="W18" s="166">
        <f t="shared" si="12"/>
        <v>12.771212547196624</v>
      </c>
      <c r="X18" s="166">
        <f t="shared" si="12"/>
        <v>12.771212547196624</v>
      </c>
      <c r="Y18" s="166">
        <f t="shared" si="12"/>
        <v>12.771212547196624</v>
      </c>
      <c r="Z18" s="166">
        <f t="shared" si="12"/>
        <v>12.771212547196624</v>
      </c>
      <c r="AA18" s="166">
        <f t="shared" si="12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3">AE19+10*LOG10(AE12/AE13)-AE20</f>
        <v>12.771212547196624</v>
      </c>
      <c r="AF18" s="164">
        <f t="shared" si="13"/>
        <v>12.771212547196624</v>
      </c>
      <c r="AG18" s="164">
        <f t="shared" si="13"/>
        <v>12.771212547196624</v>
      </c>
      <c r="AH18" s="178">
        <f t="shared" ref="AE18:AL18" si="14">AH19+10*LOG10(AH12/AH13)-AH20</f>
        <v>12.771212547196624</v>
      </c>
      <c r="AI18" s="178">
        <f t="shared" si="14"/>
        <v>12.771212547196624</v>
      </c>
      <c r="AJ18" s="178">
        <f t="shared" si="14"/>
        <v>12.771212547196624</v>
      </c>
      <c r="AK18" s="164">
        <f t="shared" si="14"/>
        <v>8.0612125471966252</v>
      </c>
      <c r="AL18" s="164">
        <f t="shared" si="14"/>
        <v>8.0612125471966252</v>
      </c>
    </row>
    <row r="19" spans="1:38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  <c r="AK19" s="164">
        <v>8</v>
      </c>
      <c r="AL19" s="164">
        <v>8</v>
      </c>
    </row>
    <row r="20" spans="1:38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  <c r="AK20" s="163">
        <v>4.71</v>
      </c>
      <c r="AL20" s="163">
        <v>4.71</v>
      </c>
    </row>
    <row r="21" spans="1:38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5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8</v>
      </c>
      <c r="AF21" s="169">
        <v>8</v>
      </c>
      <c r="AG21" s="169">
        <v>8</v>
      </c>
      <c r="AH21" s="182">
        <v>7</v>
      </c>
      <c r="AI21" s="182">
        <v>7</v>
      </c>
      <c r="AJ21" s="182">
        <v>7</v>
      </c>
      <c r="AK21" s="169">
        <v>12</v>
      </c>
      <c r="AL21" s="169">
        <v>12</v>
      </c>
    </row>
    <row r="22" spans="1:38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  <c r="AK22" s="164">
        <v>0</v>
      </c>
      <c r="AL22" s="164">
        <v>0</v>
      </c>
    </row>
    <row r="23" spans="1:38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  <c r="AK23" s="164">
        <v>0</v>
      </c>
      <c r="AL23" s="164">
        <v>0</v>
      </c>
    </row>
    <row r="24" spans="1:38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  <c r="AK24" s="164">
        <v>3</v>
      </c>
      <c r="AL24" s="164">
        <v>3</v>
      </c>
    </row>
    <row r="25" spans="1:38">
      <c r="A25" s="8" t="s">
        <v>49</v>
      </c>
      <c r="B25" s="29">
        <f t="shared" ref="B25:L25" si="16">B17+B18+B21+B22-B24</f>
        <v>63.146649928625379</v>
      </c>
      <c r="C25" s="29">
        <f t="shared" si="16"/>
        <v>63.146649928625379</v>
      </c>
      <c r="D25" s="29">
        <f t="shared" si="16"/>
        <v>63.146649928625379</v>
      </c>
      <c r="E25" s="29">
        <f t="shared" si="16"/>
        <v>44.806649928625369</v>
      </c>
      <c r="F25" s="29">
        <f t="shared" si="16"/>
        <v>44.806649928625369</v>
      </c>
      <c r="G25" s="73">
        <f t="shared" si="16"/>
        <v>54.146649928625372</v>
      </c>
      <c r="H25" s="73">
        <f t="shared" si="16"/>
        <v>54.146649928625372</v>
      </c>
      <c r="I25" s="73">
        <f t="shared" si="16"/>
        <v>54.146649928625372</v>
      </c>
      <c r="J25" s="13">
        <f t="shared" si="16"/>
        <v>59.548149711824436</v>
      </c>
      <c r="K25" s="13">
        <f t="shared" si="16"/>
        <v>59.548149711824436</v>
      </c>
      <c r="L25" s="13">
        <f t="shared" si="16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7">P17+P18+P21+P22-P24</f>
        <v>70.196649928625376</v>
      </c>
      <c r="Q25" s="164">
        <f t="shared" si="17"/>
        <v>70.196649928625376</v>
      </c>
      <c r="R25" s="164">
        <f t="shared" si="17"/>
        <v>70.196649928625376</v>
      </c>
      <c r="S25" s="166">
        <f t="shared" si="17"/>
        <v>54.146649928625372</v>
      </c>
      <c r="T25" s="166">
        <f t="shared" si="17"/>
        <v>54.146649928625372</v>
      </c>
      <c r="U25" s="166">
        <f t="shared" si="17"/>
        <v>54.146649928625372</v>
      </c>
      <c r="V25" s="166">
        <f t="shared" ref="V25:AA25" si="18">V17+V18+V21+V22-V24</f>
        <v>63.146649928625379</v>
      </c>
      <c r="W25" s="166">
        <f t="shared" si="18"/>
        <v>63.146649928625379</v>
      </c>
      <c r="X25" s="166">
        <f t="shared" si="18"/>
        <v>63.146649928625379</v>
      </c>
      <c r="Y25" s="166">
        <f t="shared" si="18"/>
        <v>54.146649928625372</v>
      </c>
      <c r="Z25" s="166">
        <f t="shared" si="18"/>
        <v>54.146649928625372</v>
      </c>
      <c r="AA25" s="166">
        <f t="shared" si="18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G25" si="19">AE17+AE18+AE21+AE22-AE24</f>
        <v>54.146649928625372</v>
      </c>
      <c r="AF25" s="164">
        <f t="shared" si="19"/>
        <v>54.146649928625372</v>
      </c>
      <c r="AG25" s="164">
        <f t="shared" si="19"/>
        <v>54.146649928625372</v>
      </c>
      <c r="AH25" s="178">
        <f t="shared" ref="AE25:AL25" si="20">AH17+AH18+AH21+AH22-AH24</f>
        <v>53.146649928625372</v>
      </c>
      <c r="AI25" s="178">
        <f t="shared" si="20"/>
        <v>53.146649928625372</v>
      </c>
      <c r="AJ25" s="178">
        <f t="shared" si="20"/>
        <v>53.146649928625372</v>
      </c>
      <c r="AK25" s="164">
        <f t="shared" si="20"/>
        <v>53.436649928625371</v>
      </c>
      <c r="AL25" s="164">
        <f t="shared" si="20"/>
        <v>53.436649928625371</v>
      </c>
    </row>
    <row r="26" spans="1:38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83" t="s">
        <v>16</v>
      </c>
      <c r="AI26" s="183" t="s">
        <v>16</v>
      </c>
      <c r="AJ26" s="183" t="s">
        <v>16</v>
      </c>
      <c r="AK26" s="191" t="s">
        <v>16</v>
      </c>
      <c r="AL26" s="191" t="s">
        <v>16</v>
      </c>
    </row>
    <row r="27" spans="1:38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  <c r="AK27" s="168"/>
      <c r="AL27" s="168"/>
    </row>
    <row r="28" spans="1:38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  <c r="AK28" s="164">
        <v>4</v>
      </c>
      <c r="AL28" s="164">
        <v>2</v>
      </c>
    </row>
    <row r="29" spans="1:38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  <c r="AK29" s="164">
        <v>4</v>
      </c>
      <c r="AL29" s="164">
        <v>2</v>
      </c>
    </row>
    <row r="30" spans="1:38" ht="42">
      <c r="A30" s="8" t="s">
        <v>56</v>
      </c>
      <c r="B30" s="29">
        <f t="shared" ref="B30:L30" si="21">B31+10*LOG10(B28/B29)-B32</f>
        <v>0</v>
      </c>
      <c r="C30" s="29">
        <f t="shared" si="21"/>
        <v>-3</v>
      </c>
      <c r="D30" s="29">
        <f t="shared" si="21"/>
        <v>-3</v>
      </c>
      <c r="E30" s="29">
        <f t="shared" si="21"/>
        <v>0</v>
      </c>
      <c r="F30" s="29">
        <f t="shared" si="21"/>
        <v>-3</v>
      </c>
      <c r="G30" s="73">
        <f t="shared" si="21"/>
        <v>0</v>
      </c>
      <c r="H30" s="73">
        <f t="shared" si="21"/>
        <v>-3</v>
      </c>
      <c r="I30" s="73">
        <f t="shared" si="21"/>
        <v>-3</v>
      </c>
      <c r="J30" s="13">
        <f t="shared" si="21"/>
        <v>0</v>
      </c>
      <c r="K30" s="13">
        <f t="shared" si="21"/>
        <v>-3</v>
      </c>
      <c r="L30" s="13">
        <f t="shared" si="21"/>
        <v>-3</v>
      </c>
      <c r="M30" s="140">
        <v>0</v>
      </c>
      <c r="N30" s="140">
        <v>-3</v>
      </c>
      <c r="O30" s="140">
        <v>-3</v>
      </c>
      <c r="P30" s="164">
        <f t="shared" ref="P30:U30" si="22">P31+10*LOG10(P28/P29)-P32</f>
        <v>0</v>
      </c>
      <c r="Q30" s="164">
        <f t="shared" si="22"/>
        <v>-3</v>
      </c>
      <c r="R30" s="164">
        <f t="shared" si="22"/>
        <v>-3</v>
      </c>
      <c r="S30" s="166">
        <f t="shared" si="22"/>
        <v>0</v>
      </c>
      <c r="T30" s="166">
        <f t="shared" si="22"/>
        <v>-3</v>
      </c>
      <c r="U30" s="166">
        <f t="shared" si="22"/>
        <v>-3</v>
      </c>
      <c r="V30" s="166">
        <f t="shared" ref="V30:AA30" si="23">V31+10*LOG10(V28/V29)-V32</f>
        <v>0</v>
      </c>
      <c r="W30" s="166">
        <f t="shared" si="23"/>
        <v>-3</v>
      </c>
      <c r="X30" s="166">
        <f t="shared" si="23"/>
        <v>-3</v>
      </c>
      <c r="Y30" s="166">
        <f t="shared" si="23"/>
        <v>0</v>
      </c>
      <c r="Z30" s="166">
        <f t="shared" si="23"/>
        <v>-3</v>
      </c>
      <c r="AA30" s="166">
        <f t="shared" si="23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4">AE31+10*LOG10(AE28/AE29)-AE32</f>
        <v>0</v>
      </c>
      <c r="AF30" s="164">
        <f t="shared" si="24"/>
        <v>-3</v>
      </c>
      <c r="AG30" s="164">
        <f t="shared" si="24"/>
        <v>-3</v>
      </c>
      <c r="AH30" s="178">
        <f t="shared" ref="AE30:AL30" si="25">AH31+10*LOG10(AH28/AH29)-AH32</f>
        <v>0</v>
      </c>
      <c r="AI30" s="178">
        <f t="shared" si="25"/>
        <v>-3</v>
      </c>
      <c r="AJ30" s="178">
        <f t="shared" si="25"/>
        <v>-3</v>
      </c>
      <c r="AK30" s="164">
        <f t="shared" si="25"/>
        <v>0</v>
      </c>
      <c r="AL30" s="164">
        <f t="shared" si="25"/>
        <v>-3</v>
      </c>
    </row>
    <row r="31" spans="1:38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  <c r="AK31" s="164">
        <v>0</v>
      </c>
      <c r="AL31" s="164">
        <v>-3</v>
      </c>
    </row>
    <row r="32" spans="1:38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  <c r="AK32" s="164">
        <v>0</v>
      </c>
      <c r="AL32" s="164">
        <v>0</v>
      </c>
    </row>
    <row r="33" spans="1:38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  <c r="AK33" s="164">
        <v>0</v>
      </c>
      <c r="AL33" s="164">
        <v>0</v>
      </c>
    </row>
    <row r="34" spans="1:38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  <c r="AK34" s="164">
        <v>1</v>
      </c>
      <c r="AL34" s="164">
        <v>1</v>
      </c>
    </row>
    <row r="35" spans="1:38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  <c r="AK35" s="164">
        <v>7</v>
      </c>
      <c r="AL35" s="164">
        <v>7</v>
      </c>
    </row>
    <row r="36" spans="1:38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  <c r="AK36" s="164">
        <v>-174</v>
      </c>
      <c r="AL36" s="164">
        <v>-174</v>
      </c>
    </row>
    <row r="37" spans="1:38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86">
        <v>-164.99</v>
      </c>
      <c r="AI37" s="186">
        <v>-164.99</v>
      </c>
      <c r="AJ37" s="186">
        <v>-164.99</v>
      </c>
      <c r="AK37" s="163">
        <v>-999</v>
      </c>
      <c r="AL37" s="163">
        <v>-999</v>
      </c>
    </row>
    <row r="38" spans="1:38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78" t="s">
        <v>16</v>
      </c>
      <c r="AI38" s="178" t="s">
        <v>16</v>
      </c>
      <c r="AJ38" s="178" t="s">
        <v>16</v>
      </c>
      <c r="AK38" s="164" t="s">
        <v>16</v>
      </c>
      <c r="AL38" s="164" t="s">
        <v>16</v>
      </c>
    </row>
    <row r="39" spans="1:38" ht="28">
      <c r="A39" s="8" t="s">
        <v>106</v>
      </c>
      <c r="B39" s="29">
        <f t="shared" ref="B39:L39" si="26">10*LOG10(10^((B35+B36)/10)+10^(B37/10))</f>
        <v>-167.00000000000003</v>
      </c>
      <c r="C39" s="29">
        <f t="shared" si="26"/>
        <v>-167.00000000000003</v>
      </c>
      <c r="D39" s="29">
        <f t="shared" si="26"/>
        <v>-167.00000000000003</v>
      </c>
      <c r="E39" s="29">
        <f t="shared" si="26"/>
        <v>-167.00000000000003</v>
      </c>
      <c r="F39" s="29">
        <f t="shared" si="26"/>
        <v>-167.00000000000003</v>
      </c>
      <c r="G39" s="73">
        <f t="shared" si="26"/>
        <v>-167.00000000000003</v>
      </c>
      <c r="H39" s="73">
        <f t="shared" si="26"/>
        <v>-167.00000000000003</v>
      </c>
      <c r="I39" s="73">
        <f t="shared" si="26"/>
        <v>-167.00000000000003</v>
      </c>
      <c r="J39" s="13">
        <f t="shared" si="26"/>
        <v>-164.98918835931039</v>
      </c>
      <c r="K39" s="13">
        <f t="shared" si="26"/>
        <v>-164.98918835931039</v>
      </c>
      <c r="L39" s="13">
        <f t="shared" si="26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7">10*LOG10(10^((P35+P36)/10)+10^(P37/10))</f>
        <v>-164.98918835931039</v>
      </c>
      <c r="Q39" s="164">
        <f t="shared" si="27"/>
        <v>-164.98918835931039</v>
      </c>
      <c r="R39" s="164">
        <f t="shared" si="27"/>
        <v>-164.98918835931039</v>
      </c>
      <c r="S39" s="166">
        <f t="shared" si="27"/>
        <v>-167.00000000000003</v>
      </c>
      <c r="T39" s="166">
        <f t="shared" si="27"/>
        <v>-167.00000000000003</v>
      </c>
      <c r="U39" s="166">
        <f t="shared" si="27"/>
        <v>-167.00000000000003</v>
      </c>
      <c r="V39" s="166">
        <f t="shared" ref="V39:AA39" si="28">10*LOG10(10^((V35+V36)/10)+10^(V37/10))</f>
        <v>-164.98918835931039</v>
      </c>
      <c r="W39" s="166">
        <f t="shared" si="28"/>
        <v>-164.98918835931039</v>
      </c>
      <c r="X39" s="166">
        <f t="shared" si="28"/>
        <v>-164.98918835931039</v>
      </c>
      <c r="Y39" s="166">
        <f t="shared" si="28"/>
        <v>-167.00000000000003</v>
      </c>
      <c r="Z39" s="166">
        <f t="shared" si="28"/>
        <v>-167.00000000000003</v>
      </c>
      <c r="AA39" s="166">
        <f t="shared" si="28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G39" si="29">10*LOG10(10^((AE35+AE36)/10)+10^(AE37/10))</f>
        <v>-167.00000000000003</v>
      </c>
      <c r="AF39" s="164">
        <f t="shared" si="29"/>
        <v>-167.00000000000003</v>
      </c>
      <c r="AG39" s="164">
        <f t="shared" si="29"/>
        <v>-167.00000000000003</v>
      </c>
      <c r="AH39" s="178">
        <f t="shared" ref="AE39:AL39" si="30">10*LOG10(10^((AH35+AH36)/10)+10^(AH37/10))</f>
        <v>-162.86943987346325</v>
      </c>
      <c r="AI39" s="178">
        <f t="shared" si="30"/>
        <v>-162.86943987346325</v>
      </c>
      <c r="AJ39" s="178">
        <f t="shared" si="30"/>
        <v>-162.86943987346325</v>
      </c>
      <c r="AK39" s="164">
        <f t="shared" si="30"/>
        <v>-167.00000000000003</v>
      </c>
      <c r="AL39" s="164">
        <f t="shared" si="30"/>
        <v>-167.00000000000003</v>
      </c>
    </row>
    <row r="40" spans="1:38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83" t="s">
        <v>16</v>
      </c>
      <c r="AI40" s="183" t="s">
        <v>16</v>
      </c>
      <c r="AJ40" s="183" t="s">
        <v>16</v>
      </c>
      <c r="AK40" s="191" t="s">
        <v>16</v>
      </c>
      <c r="AL40" s="191" t="s">
        <v>16</v>
      </c>
    </row>
    <row r="41" spans="1:38">
      <c r="A41" s="21" t="s">
        <v>68</v>
      </c>
      <c r="B41" s="29">
        <f t="shared" ref="B41:L41" si="31">48*360*1000</f>
        <v>17280000</v>
      </c>
      <c r="C41" s="29">
        <f t="shared" si="31"/>
        <v>17280000</v>
      </c>
      <c r="D41" s="29">
        <f t="shared" si="31"/>
        <v>17280000</v>
      </c>
      <c r="E41" s="29">
        <f t="shared" si="31"/>
        <v>17280000</v>
      </c>
      <c r="F41" s="29">
        <f t="shared" si="31"/>
        <v>17280000</v>
      </c>
      <c r="G41" s="73">
        <f t="shared" si="31"/>
        <v>17280000</v>
      </c>
      <c r="H41" s="73">
        <f t="shared" si="31"/>
        <v>17280000</v>
      </c>
      <c r="I41" s="73">
        <f t="shared" si="31"/>
        <v>17280000</v>
      </c>
      <c r="J41" s="13">
        <f t="shared" si="31"/>
        <v>17280000</v>
      </c>
      <c r="K41" s="13">
        <f t="shared" si="31"/>
        <v>17280000</v>
      </c>
      <c r="L41" s="13">
        <f t="shared" si="31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32">48*360*1000</f>
        <v>17280000</v>
      </c>
      <c r="Q41" s="164">
        <f t="shared" si="32"/>
        <v>17280000</v>
      </c>
      <c r="R41" s="164">
        <f t="shared" si="32"/>
        <v>17280000</v>
      </c>
      <c r="S41" s="166">
        <f t="shared" si="32"/>
        <v>17280000</v>
      </c>
      <c r="T41" s="166">
        <f t="shared" si="32"/>
        <v>17280000</v>
      </c>
      <c r="U41" s="166">
        <f t="shared" si="32"/>
        <v>17280000</v>
      </c>
      <c r="V41" s="166">
        <f t="shared" ref="V41:AA41" si="33">48*360*1000</f>
        <v>17280000</v>
      </c>
      <c r="W41" s="166">
        <f t="shared" si="33"/>
        <v>17280000</v>
      </c>
      <c r="X41" s="166">
        <f t="shared" si="33"/>
        <v>17280000</v>
      </c>
      <c r="Y41" s="166">
        <f t="shared" si="33"/>
        <v>17280000</v>
      </c>
      <c r="Z41" s="166">
        <f t="shared" si="33"/>
        <v>17280000</v>
      </c>
      <c r="AA41" s="166">
        <f t="shared" si="33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G41" si="34">48*360*1000</f>
        <v>17280000</v>
      </c>
      <c r="AF41" s="164">
        <f t="shared" si="34"/>
        <v>17280000</v>
      </c>
      <c r="AG41" s="164">
        <f t="shared" si="34"/>
        <v>17280000</v>
      </c>
      <c r="AH41" s="178">
        <f t="shared" ref="AE41:AL41" si="35">48*360*1000</f>
        <v>17280000</v>
      </c>
      <c r="AI41" s="178">
        <f t="shared" si="35"/>
        <v>17280000</v>
      </c>
      <c r="AJ41" s="178">
        <f t="shared" si="35"/>
        <v>17280000</v>
      </c>
      <c r="AK41" s="164">
        <f t="shared" si="35"/>
        <v>17280000</v>
      </c>
      <c r="AL41" s="164">
        <f t="shared" si="35"/>
        <v>17280000</v>
      </c>
    </row>
    <row r="42" spans="1:38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78" t="s">
        <v>16</v>
      </c>
      <c r="AI42" s="178" t="s">
        <v>16</v>
      </c>
      <c r="AJ42" s="178" t="s">
        <v>16</v>
      </c>
      <c r="AK42" s="164" t="s">
        <v>16</v>
      </c>
      <c r="AL42" s="164" t="s">
        <v>16</v>
      </c>
    </row>
    <row r="43" spans="1:38">
      <c r="A43" s="8" t="s">
        <v>71</v>
      </c>
      <c r="B43" s="29">
        <f t="shared" ref="B43:L43" si="36">B39+10*LOG10(B41)</f>
        <v>-94.624562618571289</v>
      </c>
      <c r="C43" s="29">
        <f t="shared" si="36"/>
        <v>-94.624562618571289</v>
      </c>
      <c r="D43" s="29">
        <f t="shared" si="36"/>
        <v>-94.624562618571289</v>
      </c>
      <c r="E43" s="29">
        <f t="shared" si="36"/>
        <v>-94.624562618571289</v>
      </c>
      <c r="F43" s="29">
        <f t="shared" si="36"/>
        <v>-94.624562618571289</v>
      </c>
      <c r="G43" s="73">
        <f t="shared" si="36"/>
        <v>-94.624562618571289</v>
      </c>
      <c r="H43" s="73">
        <f t="shared" si="36"/>
        <v>-94.624562618571289</v>
      </c>
      <c r="I43" s="73">
        <f t="shared" si="36"/>
        <v>-94.624562618571289</v>
      </c>
      <c r="J43" s="13">
        <f t="shared" si="36"/>
        <v>-92.613750977881651</v>
      </c>
      <c r="K43" s="13">
        <f t="shared" si="36"/>
        <v>-92.613750977881651</v>
      </c>
      <c r="L43" s="13">
        <f t="shared" si="36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7">P39+10*LOG10(P41)</f>
        <v>-92.613750977881651</v>
      </c>
      <c r="Q43" s="164">
        <f t="shared" si="37"/>
        <v>-92.613750977881651</v>
      </c>
      <c r="R43" s="164">
        <f t="shared" si="37"/>
        <v>-92.613750977881651</v>
      </c>
      <c r="S43" s="166">
        <f t="shared" si="37"/>
        <v>-94.624562618571289</v>
      </c>
      <c r="T43" s="166">
        <f t="shared" si="37"/>
        <v>-94.624562618571289</v>
      </c>
      <c r="U43" s="166">
        <f t="shared" si="37"/>
        <v>-94.624562618571289</v>
      </c>
      <c r="V43" s="166">
        <f t="shared" ref="V43:AA43" si="38">V39+10*LOG10(V41)</f>
        <v>-92.613750977881651</v>
      </c>
      <c r="W43" s="166">
        <f t="shared" si="38"/>
        <v>-92.613750977881651</v>
      </c>
      <c r="X43" s="166">
        <f t="shared" si="38"/>
        <v>-92.613750977881651</v>
      </c>
      <c r="Y43" s="166">
        <f t="shared" si="38"/>
        <v>-94.624562618571289</v>
      </c>
      <c r="Z43" s="166">
        <f t="shared" si="38"/>
        <v>-94.624562618571289</v>
      </c>
      <c r="AA43" s="166">
        <f t="shared" si="38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G43" si="39">AE39+10*LOG10(AE41)</f>
        <v>-94.624562618571289</v>
      </c>
      <c r="AF43" s="164">
        <f t="shared" si="39"/>
        <v>-94.624562618571289</v>
      </c>
      <c r="AG43" s="164">
        <f t="shared" si="39"/>
        <v>-94.624562618571289</v>
      </c>
      <c r="AH43" s="178">
        <f t="shared" ref="AE43:AL43" si="40">AH39+10*LOG10(AH41)</f>
        <v>-90.494002492034511</v>
      </c>
      <c r="AI43" s="178">
        <f t="shared" si="40"/>
        <v>-90.494002492034511</v>
      </c>
      <c r="AJ43" s="178">
        <f t="shared" si="40"/>
        <v>-90.494002492034511</v>
      </c>
      <c r="AK43" s="164">
        <f t="shared" si="40"/>
        <v>-94.624562618571289</v>
      </c>
      <c r="AL43" s="164">
        <f t="shared" si="40"/>
        <v>-94.624562618571289</v>
      </c>
    </row>
    <row r="44" spans="1:38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83" t="s">
        <v>16</v>
      </c>
      <c r="AI44" s="183" t="s">
        <v>16</v>
      </c>
      <c r="AJ44" s="183" t="s">
        <v>16</v>
      </c>
      <c r="AK44" s="191" t="s">
        <v>16</v>
      </c>
      <c r="AL44" s="191" t="s">
        <v>16</v>
      </c>
    </row>
    <row r="45" spans="1:38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  <c r="AH45" s="182">
        <v>-11.7</v>
      </c>
      <c r="AI45" s="182">
        <v>-9.1999999999999993</v>
      </c>
      <c r="AJ45" s="182">
        <v>-5.9</v>
      </c>
      <c r="AK45" s="169">
        <v>-11.2</v>
      </c>
      <c r="AL45" s="169">
        <v>-8.3000000000000007</v>
      </c>
    </row>
    <row r="46" spans="1:38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78" t="s">
        <v>16</v>
      </c>
      <c r="AI46" s="178" t="s">
        <v>16</v>
      </c>
      <c r="AJ46" s="178" t="s">
        <v>16</v>
      </c>
      <c r="AK46" s="164" t="s">
        <v>16</v>
      </c>
      <c r="AL46" s="164" t="s">
        <v>16</v>
      </c>
    </row>
    <row r="47" spans="1:38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  <c r="AK47" s="164">
        <v>2</v>
      </c>
      <c r="AL47" s="164">
        <v>2</v>
      </c>
    </row>
    <row r="48" spans="1:38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78">
        <v>0</v>
      </c>
      <c r="AI48" s="178">
        <v>0</v>
      </c>
      <c r="AJ48" s="178">
        <v>0</v>
      </c>
      <c r="AK48" s="164">
        <v>0</v>
      </c>
      <c r="AL48" s="164">
        <v>0</v>
      </c>
    </row>
    <row r="49" spans="1:38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83" t="s">
        <v>16</v>
      </c>
      <c r="AI49" s="183" t="s">
        <v>16</v>
      </c>
      <c r="AJ49" s="183" t="s">
        <v>16</v>
      </c>
      <c r="AK49" s="191" t="s">
        <v>16</v>
      </c>
      <c r="AL49" s="191" t="s">
        <v>16</v>
      </c>
    </row>
    <row r="50" spans="1:38" ht="28">
      <c r="A50" s="8" t="s">
        <v>80</v>
      </c>
      <c r="B50" s="29">
        <f t="shared" ref="B50:L50" si="41">B43+B45+B47-B48</f>
        <v>-103.72456261857128</v>
      </c>
      <c r="C50" s="29">
        <f t="shared" si="41"/>
        <v>-100.92456261857129</v>
      </c>
      <c r="D50" s="29">
        <f t="shared" si="41"/>
        <v>-97.424562618571287</v>
      </c>
      <c r="E50" s="29">
        <f t="shared" si="41"/>
        <v>-103.98456261857129</v>
      </c>
      <c r="F50" s="29">
        <f t="shared" si="41"/>
        <v>-97.754562618571285</v>
      </c>
      <c r="G50" s="73">
        <f t="shared" si="41"/>
        <v>-105.30456261857128</v>
      </c>
      <c r="H50" s="73">
        <f t="shared" si="41"/>
        <v>-102.00456261857128</v>
      </c>
      <c r="I50" s="73">
        <f t="shared" si="41"/>
        <v>-98.034562618571286</v>
      </c>
      <c r="J50" s="13">
        <f t="shared" si="41"/>
        <v>-99.113750977881651</v>
      </c>
      <c r="K50" s="13">
        <f t="shared" si="41"/>
        <v>-96.47375097788165</v>
      </c>
      <c r="L50" s="13">
        <f t="shared" si="41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42">P43+P45+P47-P48</f>
        <v>-99.213750977881645</v>
      </c>
      <c r="Q50" s="164">
        <f t="shared" si="42"/>
        <v>-96.313750977881654</v>
      </c>
      <c r="R50" s="164">
        <f t="shared" si="42"/>
        <v>-92.313750977881654</v>
      </c>
      <c r="S50" s="166">
        <f t="shared" si="42"/>
        <v>-103.63456261857129</v>
      </c>
      <c r="T50" s="166">
        <f t="shared" si="42"/>
        <v>-100.70456261857129</v>
      </c>
      <c r="U50" s="166">
        <f t="shared" si="42"/>
        <v>-97.424562618571287</v>
      </c>
      <c r="V50" s="166">
        <f t="shared" ref="V50:AA50" si="43">V43+V45+V47-V48</f>
        <v>-101.86375097788165</v>
      </c>
      <c r="W50" s="166">
        <f t="shared" si="43"/>
        <v>-98.883750977881647</v>
      </c>
      <c r="X50" s="166">
        <f t="shared" si="43"/>
        <v>-95.393750977881652</v>
      </c>
      <c r="Y50" s="166">
        <f t="shared" si="43"/>
        <v>-102.62456261857129</v>
      </c>
      <c r="Z50" s="166">
        <f t="shared" si="43"/>
        <v>-99.624562618571289</v>
      </c>
      <c r="AA50" s="166">
        <f t="shared" si="43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G50" si="44">AE43+AE45+AE47-AE48</f>
        <v>-102.32456261857129</v>
      </c>
      <c r="AF50" s="164">
        <f t="shared" si="44"/>
        <v>-99.624562618571289</v>
      </c>
      <c r="AG50" s="164">
        <f t="shared" si="44"/>
        <v>-96.424562618571287</v>
      </c>
      <c r="AH50" s="178">
        <f t="shared" ref="AE50:AL50" si="45">AH43+AH45+AH47-AH48</f>
        <v>-100.19400249203451</v>
      </c>
      <c r="AI50" s="178">
        <f t="shared" si="45"/>
        <v>-97.694002492034514</v>
      </c>
      <c r="AJ50" s="178">
        <f t="shared" si="45"/>
        <v>-94.394002492034517</v>
      </c>
      <c r="AK50" s="164">
        <f t="shared" si="45"/>
        <v>-103.82456261857129</v>
      </c>
      <c r="AL50" s="164">
        <f t="shared" si="45"/>
        <v>-100.92456261857129</v>
      </c>
    </row>
    <row r="51" spans="1:38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83" t="s">
        <v>16</v>
      </c>
      <c r="AI51" s="183" t="s">
        <v>16</v>
      </c>
      <c r="AJ51" s="183" t="s">
        <v>16</v>
      </c>
      <c r="AK51" s="191" t="s">
        <v>16</v>
      </c>
      <c r="AL51" s="191" t="s">
        <v>16</v>
      </c>
    </row>
    <row r="52" spans="1:38" ht="28">
      <c r="A52" s="22" t="s">
        <v>83</v>
      </c>
      <c r="B52" s="37">
        <f t="shared" ref="B52:G52" si="46">B25+B30+B33-B34-B50</f>
        <v>165.87121254719665</v>
      </c>
      <c r="C52" s="37">
        <f t="shared" si="46"/>
        <v>160.07121254719667</v>
      </c>
      <c r="D52" s="37">
        <f t="shared" si="46"/>
        <v>156.57121254719667</v>
      </c>
      <c r="E52" s="37">
        <f t="shared" si="46"/>
        <v>147.79121254719666</v>
      </c>
      <c r="F52" s="37">
        <f t="shared" si="46"/>
        <v>138.56121254719665</v>
      </c>
      <c r="G52" s="78">
        <f t="shared" si="46"/>
        <v>158.45121254719666</v>
      </c>
      <c r="H52" s="78">
        <f t="shared" ref="H52:K52" si="47">H25+H30+H33-H34-H50</f>
        <v>152.15121254719665</v>
      </c>
      <c r="I52" s="78">
        <f t="shared" si="47"/>
        <v>148.18121254719665</v>
      </c>
      <c r="J52" s="23">
        <f t="shared" si="47"/>
        <v>157.6619006897061</v>
      </c>
      <c r="K52" s="23">
        <f t="shared" si="47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48">Q25+Q30+Q33-Q34-Q50</f>
        <v>162.51040090650702</v>
      </c>
      <c r="R52" s="171">
        <f t="shared" si="48"/>
        <v>158.51040090650702</v>
      </c>
      <c r="S52" s="171">
        <f>S25+S30+S33-S34-S50</f>
        <v>156.78121254719667</v>
      </c>
      <c r="T52" s="171">
        <f t="shared" ref="T52:U52" si="49">T25+T30+T33-T34-T50</f>
        <v>150.85121254719667</v>
      </c>
      <c r="U52" s="171">
        <f t="shared" si="49"/>
        <v>147.57121254719667</v>
      </c>
      <c r="V52" s="171">
        <f>V25+V30+V33-V34-V50</f>
        <v>164.01040090650702</v>
      </c>
      <c r="W52" s="171">
        <f t="shared" ref="W52:X52" si="50">W25+W30+W33-W34-W50</f>
        <v>158.03040090650703</v>
      </c>
      <c r="X52" s="171">
        <f t="shared" si="50"/>
        <v>154.54040090650705</v>
      </c>
      <c r="Y52" s="171">
        <f>Y25+Y30+Y33-Y34-Y50</f>
        <v>155.77121254719665</v>
      </c>
      <c r="Z52" s="171">
        <f t="shared" ref="Z52:AA52" si="51">Z25+Z30+Z33-Z34-Z50</f>
        <v>149.77121254719665</v>
      </c>
      <c r="AA52" s="171">
        <f t="shared" si="51"/>
        <v>146.77121254719665</v>
      </c>
      <c r="AB52" s="179">
        <f>AB25+AB30+AB33-AB34-AB50</f>
        <v>148.97121254719667</v>
      </c>
      <c r="AC52" s="179">
        <f t="shared" ref="AC52:AD52" si="52">AC25+AC30+AC33-AC34-AC50</f>
        <v>142.77121254719665</v>
      </c>
      <c r="AD52" s="179">
        <f t="shared" si="52"/>
        <v>139.67121254719666</v>
      </c>
      <c r="AE52" s="171">
        <f>AE25+AE30+AE33-AE34-AE50</f>
        <v>155.47121254719667</v>
      </c>
      <c r="AF52" s="171">
        <f t="shared" ref="AF52:AG52" si="53">AF25+AF30+AF33-AF34-AF50</f>
        <v>149.77121254719665</v>
      </c>
      <c r="AG52" s="171">
        <f t="shared" si="53"/>
        <v>146.57121254719667</v>
      </c>
      <c r="AH52" s="179">
        <f>AH25+AH30+AH33-AH34-AH50</f>
        <v>152.34065242065989</v>
      </c>
      <c r="AI52" s="179">
        <f t="shared" ref="AI52:AJ52" si="54">AI25+AI30+AI33-AI34-AI50</f>
        <v>146.84065242065989</v>
      </c>
      <c r="AJ52" s="179">
        <f t="shared" si="54"/>
        <v>143.54065242065988</v>
      </c>
      <c r="AK52" s="171">
        <f>AK25+AK30+AK33-AK34-AK50</f>
        <v>156.26121254719666</v>
      </c>
      <c r="AL52" s="171">
        <f t="shared" ref="AL52" si="55">AL25+AL30+AL33-AL34-AL50</f>
        <v>150.36121254719666</v>
      </c>
    </row>
    <row r="53" spans="1:38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5" t="s">
        <v>16</v>
      </c>
      <c r="AI53" s="195" t="s">
        <v>16</v>
      </c>
      <c r="AJ53" s="195" t="s">
        <v>16</v>
      </c>
      <c r="AK53" s="193" t="s">
        <v>16</v>
      </c>
      <c r="AL53" s="193" t="s">
        <v>16</v>
      </c>
    </row>
    <row r="54" spans="1:38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  <c r="AK54" s="168"/>
      <c r="AL54" s="168"/>
    </row>
    <row r="55" spans="1:38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  <c r="AK55" s="163">
        <v>7</v>
      </c>
      <c r="AL55" s="163">
        <v>7</v>
      </c>
    </row>
    <row r="56" spans="1:38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86">
        <v>7.56</v>
      </c>
      <c r="AI56" s="186">
        <v>7.56</v>
      </c>
      <c r="AJ56" s="186">
        <v>7.56</v>
      </c>
      <c r="AK56" s="163">
        <v>7.56</v>
      </c>
      <c r="AL56" s="163">
        <v>7.56</v>
      </c>
    </row>
    <row r="57" spans="1:38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83" t="s">
        <v>16</v>
      </c>
      <c r="AI57" s="183" t="s">
        <v>16</v>
      </c>
      <c r="AJ57" s="183" t="s">
        <v>16</v>
      </c>
      <c r="AK57" s="191" t="s">
        <v>16</v>
      </c>
      <c r="AL57" s="191" t="s">
        <v>16</v>
      </c>
    </row>
    <row r="58" spans="1:38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  <c r="AK58" s="163">
        <v>0</v>
      </c>
      <c r="AL58" s="163">
        <v>0</v>
      </c>
    </row>
    <row r="59" spans="1:38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  <c r="AK59" s="163">
        <v>26.25</v>
      </c>
      <c r="AL59" s="163">
        <v>26.25</v>
      </c>
    </row>
    <row r="60" spans="1:38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  <c r="AK60" s="163">
        <v>0</v>
      </c>
      <c r="AL60" s="163">
        <v>0</v>
      </c>
    </row>
    <row r="61" spans="1:38" ht="28">
      <c r="A61" s="22" t="s">
        <v>108</v>
      </c>
      <c r="B61" s="37">
        <f t="shared" ref="B61:G61" si="56">B52-B56+B58-B59+B60</f>
        <v>132.06121254719665</v>
      </c>
      <c r="C61" s="37">
        <f t="shared" si="56"/>
        <v>126.26121254719666</v>
      </c>
      <c r="D61" s="37">
        <f t="shared" si="56"/>
        <v>122.76121254719666</v>
      </c>
      <c r="E61" s="37">
        <f t="shared" si="56"/>
        <v>113.98121254719666</v>
      </c>
      <c r="F61" s="37">
        <f t="shared" si="56"/>
        <v>104.75121254719664</v>
      </c>
      <c r="G61" s="78">
        <f t="shared" si="56"/>
        <v>124.64121254719666</v>
      </c>
      <c r="H61" s="78">
        <f t="shared" ref="H61:K61" si="57">H52-H56+H58-H59+H60</f>
        <v>118.34121254719665</v>
      </c>
      <c r="I61" s="78">
        <f t="shared" si="57"/>
        <v>114.37121254719665</v>
      </c>
      <c r="J61" s="23">
        <f t="shared" si="57"/>
        <v>123.8519006897061</v>
      </c>
      <c r="K61" s="23">
        <f t="shared" si="57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58">Q52-Q56+Q58-Q59+Q60</f>
        <v>128.680400906507</v>
      </c>
      <c r="R61" s="171">
        <f t="shared" si="58"/>
        <v>124.680400906507</v>
      </c>
      <c r="S61" s="171">
        <f>S52-S56+S58-S59+S60</f>
        <v>122.97121254719667</v>
      </c>
      <c r="T61" s="171">
        <f t="shared" ref="T61:U61" si="59">T52-T56+T58-T59+T60</f>
        <v>117.04121254719666</v>
      </c>
      <c r="U61" s="171">
        <f t="shared" si="59"/>
        <v>113.76121254719666</v>
      </c>
      <c r="V61" s="171">
        <f>V52-V56+V58-V59+V60</f>
        <v>130.20040090650701</v>
      </c>
      <c r="W61" s="171">
        <f t="shared" ref="W61:X61" si="60">W52-W56+W58-W59+W60</f>
        <v>124.22040090650702</v>
      </c>
      <c r="X61" s="171">
        <f t="shared" si="60"/>
        <v>120.73040090650704</v>
      </c>
      <c r="Y61" s="171">
        <f>Y52-Y56+Y58-Y59+Y60</f>
        <v>121.96121254719665</v>
      </c>
      <c r="Z61" s="171">
        <f t="shared" ref="Z61:AA61" si="61">Z52-Z56+Z58-Z59+Z60</f>
        <v>115.96121254719665</v>
      </c>
      <c r="AA61" s="171">
        <f t="shared" si="61"/>
        <v>112.96121254719665</v>
      </c>
      <c r="AB61" s="179">
        <f>AB52-AB56+AB58-AB59+AB60</f>
        <v>115.16121254719667</v>
      </c>
      <c r="AC61" s="179">
        <f t="shared" ref="AC61:AD61" si="62">AC52-AC56+AC58-AC59+AC60</f>
        <v>108.96121254719665</v>
      </c>
      <c r="AD61" s="179">
        <f t="shared" si="62"/>
        <v>105.86121254719666</v>
      </c>
      <c r="AE61" s="171">
        <f>AE52-AE56+AE58-AE59+AE60</f>
        <v>121.66121254719667</v>
      </c>
      <c r="AF61" s="171">
        <f t="shared" ref="AF61:AG61" si="63">AF52-AF56+AF58-AF59+AF60</f>
        <v>115.96121254719665</v>
      </c>
      <c r="AG61" s="171">
        <f t="shared" si="63"/>
        <v>112.76121254719666</v>
      </c>
      <c r="AH61" s="179">
        <f>AH52-AH56+AH58-AH59+AH60</f>
        <v>118.53065242065989</v>
      </c>
      <c r="AI61" s="179">
        <f t="shared" ref="AI61:AJ61" si="64">AI52-AI56+AI58-AI59+AI60</f>
        <v>113.03065242065989</v>
      </c>
      <c r="AJ61" s="179">
        <f t="shared" si="64"/>
        <v>109.73065242065988</v>
      </c>
      <c r="AK61" s="171">
        <f>AK52-AK56+AK58-AK59+AK60</f>
        <v>122.45121254719666</v>
      </c>
      <c r="AL61" s="171">
        <f t="shared" ref="AL61" si="65">AL52-AL56+AL58-AL59+AL60</f>
        <v>116.55121254719666</v>
      </c>
    </row>
    <row r="62" spans="1:38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5" t="s">
        <v>16</v>
      </c>
      <c r="AI62" s="195" t="s">
        <v>16</v>
      </c>
      <c r="AJ62" s="195" t="s">
        <v>16</v>
      </c>
      <c r="AK62" s="193" t="s">
        <v>16</v>
      </c>
      <c r="AL62" s="193" t="s">
        <v>16</v>
      </c>
    </row>
    <row r="63" spans="1:38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  <c r="AL63" s="194"/>
    </row>
    <row r="64" spans="1:38">
      <c r="A64" s="22" t="s">
        <v>97</v>
      </c>
      <c r="B64" s="37">
        <f t="shared" ref="B64:L64" si="66">B17+B22-B50+B21+B33</f>
        <v>157.10000000000002</v>
      </c>
      <c r="C64" s="37">
        <f t="shared" si="66"/>
        <v>154.30000000000004</v>
      </c>
      <c r="D64" s="37">
        <f t="shared" si="66"/>
        <v>150.80000000000004</v>
      </c>
      <c r="E64" s="37">
        <f t="shared" si="66"/>
        <v>141.97000000000006</v>
      </c>
      <c r="F64" s="37">
        <f t="shared" si="66"/>
        <v>135.74000000000004</v>
      </c>
      <c r="G64" s="78">
        <f t="shared" si="66"/>
        <v>149.68000000000004</v>
      </c>
      <c r="H64" s="78">
        <f t="shared" si="66"/>
        <v>146.38000000000002</v>
      </c>
      <c r="I64" s="78">
        <f t="shared" si="66"/>
        <v>142.41000000000003</v>
      </c>
      <c r="J64" s="23">
        <f t="shared" si="66"/>
        <v>151.54068814250945</v>
      </c>
      <c r="K64" s="23">
        <f t="shared" si="66"/>
        <v>148.90068814250947</v>
      </c>
      <c r="L64" s="23">
        <f t="shared" si="66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67">P17+P22-P50+P21+P33</f>
        <v>159.6391883593104</v>
      </c>
      <c r="Q64" s="171">
        <f t="shared" si="67"/>
        <v>156.73918835931042</v>
      </c>
      <c r="R64" s="171">
        <f t="shared" si="67"/>
        <v>152.73918835931042</v>
      </c>
      <c r="S64" s="171">
        <f t="shared" si="67"/>
        <v>148.01000000000005</v>
      </c>
      <c r="T64" s="171">
        <f t="shared" si="67"/>
        <v>145.08000000000004</v>
      </c>
      <c r="U64" s="171">
        <f t="shared" si="67"/>
        <v>141.80000000000004</v>
      </c>
      <c r="V64" s="171">
        <f t="shared" ref="V64:AA64" si="68">V17+V22-V50+V21+V33</f>
        <v>155.23918835931039</v>
      </c>
      <c r="W64" s="171">
        <f t="shared" si="68"/>
        <v>152.2591883593104</v>
      </c>
      <c r="X64" s="171">
        <f t="shared" si="68"/>
        <v>148.76918835931039</v>
      </c>
      <c r="Y64" s="171">
        <f t="shared" si="68"/>
        <v>147.00000000000003</v>
      </c>
      <c r="Z64" s="171">
        <f t="shared" si="68"/>
        <v>144.00000000000003</v>
      </c>
      <c r="AA64" s="171">
        <f t="shared" si="68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G64" si="69">AE17+AE22-AE50+AE21+AE33</f>
        <v>146.70000000000005</v>
      </c>
      <c r="AF64" s="171">
        <f t="shared" si="69"/>
        <v>144.00000000000003</v>
      </c>
      <c r="AG64" s="171">
        <f t="shared" si="69"/>
        <v>140.80000000000004</v>
      </c>
      <c r="AH64" s="179">
        <f t="shared" ref="AE64:AL64" si="70">AH17+AH22-AH50+AH21+AH33</f>
        <v>143.56943987346327</v>
      </c>
      <c r="AI64" s="179">
        <f t="shared" si="70"/>
        <v>141.06943987346327</v>
      </c>
      <c r="AJ64" s="179">
        <f t="shared" si="70"/>
        <v>137.76943987346326</v>
      </c>
      <c r="AK64" s="171">
        <f t="shared" si="70"/>
        <v>152.20000000000005</v>
      </c>
      <c r="AL64" s="171">
        <f t="shared" si="70"/>
        <v>149.30000000000004</v>
      </c>
    </row>
    <row r="65" spans="1:38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5" t="s">
        <v>16</v>
      </c>
      <c r="AI65" s="195" t="s">
        <v>16</v>
      </c>
      <c r="AJ65" s="195" t="s">
        <v>16</v>
      </c>
      <c r="AK65" s="193" t="s">
        <v>16</v>
      </c>
      <c r="AL65" s="193" t="s">
        <v>16</v>
      </c>
    </row>
  </sheetData>
  <mergeCells count="13">
    <mergeCell ref="AK1:AL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caa248ac-567e-4f8a-83ad-95641c120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0c1c198-6772-4070-9fed-c99b54821f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2020-11-05T23:01:13Z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