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599561F4-827F-47BB-8984-2F449B5D3F52}" xr6:coauthVersionLast="45" xr6:coauthVersionMax="45" xr10:uidLastSave="{00000000-0000-0000-0000-000000000000}"/>
  <bookViews>
    <workbookView xWindow="-120" yWindow="-120" windowWidth="29040" windowHeight="15840" tabRatio="774" activeTab="1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59" l="1"/>
  <c r="J42" i="59"/>
  <c r="I42" i="59"/>
  <c r="H42" i="59"/>
  <c r="H17" i="59" s="1"/>
  <c r="K40" i="59"/>
  <c r="K44" i="59" s="1"/>
  <c r="K51" i="59" s="1"/>
  <c r="J40" i="59"/>
  <c r="J44" i="59" s="1"/>
  <c r="J51" i="59" s="1"/>
  <c r="I40" i="59"/>
  <c r="I44" i="59" s="1"/>
  <c r="I51" i="59" s="1"/>
  <c r="H40" i="59"/>
  <c r="H44" i="59" s="1"/>
  <c r="H51" i="59" s="1"/>
  <c r="K30" i="59"/>
  <c r="J30" i="59"/>
  <c r="I30" i="59"/>
  <c r="H30" i="59"/>
  <c r="K18" i="59"/>
  <c r="J18" i="59"/>
  <c r="I18" i="59"/>
  <c r="H18" i="59"/>
  <c r="K17" i="59"/>
  <c r="K26" i="59" s="1"/>
  <c r="K53" i="59" s="1"/>
  <c r="K62" i="59" s="1"/>
  <c r="J17" i="59"/>
  <c r="I17" i="59"/>
  <c r="K16" i="59"/>
  <c r="J16" i="59"/>
  <c r="I16" i="59"/>
  <c r="H16" i="59"/>
  <c r="Q42" i="62"/>
  <c r="P42" i="62"/>
  <c r="Q40" i="62"/>
  <c r="Q44" i="62" s="1"/>
  <c r="Q51" i="62" s="1"/>
  <c r="P40" i="62"/>
  <c r="P44" i="62" s="1"/>
  <c r="P51" i="62" s="1"/>
  <c r="Q30" i="62"/>
  <c r="P30" i="62"/>
  <c r="Q18" i="62"/>
  <c r="P18" i="62"/>
  <c r="Q17" i="62"/>
  <c r="Q65" i="62" s="1"/>
  <c r="P17" i="62"/>
  <c r="P65" i="62" s="1"/>
  <c r="Q44" i="58"/>
  <c r="Q51" i="58" s="1"/>
  <c r="P44" i="58"/>
  <c r="P51" i="58" s="1"/>
  <c r="R42" i="58"/>
  <c r="R17" i="58" s="1"/>
  <c r="Q42" i="58"/>
  <c r="P42" i="58"/>
  <c r="R40" i="58"/>
  <c r="R44" i="58" s="1"/>
  <c r="R51" i="58" s="1"/>
  <c r="Q40" i="58"/>
  <c r="P40" i="58"/>
  <c r="R30" i="58"/>
  <c r="Q30" i="58"/>
  <c r="P30" i="58"/>
  <c r="R18" i="58"/>
  <c r="Q18" i="58"/>
  <c r="P18" i="58"/>
  <c r="P26" i="58" s="1"/>
  <c r="P53" i="58" s="1"/>
  <c r="P62" i="58" s="1"/>
  <c r="Q17" i="58"/>
  <c r="P17" i="58"/>
  <c r="P65" i="58" s="1"/>
  <c r="R16" i="58"/>
  <c r="Q16" i="58"/>
  <c r="P16" i="58"/>
  <c r="Q44" i="52"/>
  <c r="Q51" i="52" s="1"/>
  <c r="Q65" i="52" s="1"/>
  <c r="Q42" i="52"/>
  <c r="P42" i="52"/>
  <c r="Q40" i="52"/>
  <c r="P40" i="52"/>
  <c r="P44" i="52" s="1"/>
  <c r="P51" i="52" s="1"/>
  <c r="Q30" i="52"/>
  <c r="P30" i="52"/>
  <c r="Q26" i="52"/>
  <c r="Q18" i="52"/>
  <c r="P18" i="52"/>
  <c r="Q17" i="52"/>
  <c r="P17" i="52"/>
  <c r="Q16" i="52"/>
  <c r="P16" i="52"/>
  <c r="AA43" i="51"/>
  <c r="AA50" i="51" s="1"/>
  <c r="AA64" i="51" s="1"/>
  <c r="AA41" i="51"/>
  <c r="Z41" i="51"/>
  <c r="AA39" i="51"/>
  <c r="Z39" i="51"/>
  <c r="Z43" i="51" s="1"/>
  <c r="Z50" i="51" s="1"/>
  <c r="AA30" i="51"/>
  <c r="Z30" i="51"/>
  <c r="AA25" i="51"/>
  <c r="AA18" i="51"/>
  <c r="Z18" i="51"/>
  <c r="AA17" i="51"/>
  <c r="Z17" i="51"/>
  <c r="AA16" i="51"/>
  <c r="Z16" i="51"/>
  <c r="W42" i="50"/>
  <c r="V42" i="50"/>
  <c r="W40" i="50"/>
  <c r="W44" i="50" s="1"/>
  <c r="W51" i="50" s="1"/>
  <c r="V40" i="50"/>
  <c r="V44" i="50" s="1"/>
  <c r="V51" i="50" s="1"/>
  <c r="W30" i="50"/>
  <c r="V30" i="50"/>
  <c r="W18" i="50"/>
  <c r="V18" i="50"/>
  <c r="W17" i="50"/>
  <c r="W65" i="50" s="1"/>
  <c r="V17" i="50"/>
  <c r="V65" i="50" s="1"/>
  <c r="Q41" i="61"/>
  <c r="P41" i="61"/>
  <c r="Q39" i="61"/>
  <c r="Q43" i="61" s="1"/>
  <c r="Q50" i="61" s="1"/>
  <c r="Q64" i="61" s="1"/>
  <c r="P39" i="61"/>
  <c r="P43" i="61" s="1"/>
  <c r="P50" i="61" s="1"/>
  <c r="Q30" i="61"/>
  <c r="P30" i="61"/>
  <c r="Q25" i="61"/>
  <c r="Q52" i="61" s="1"/>
  <c r="Q61" i="61" s="1"/>
  <c r="Q18" i="61"/>
  <c r="P18" i="61"/>
  <c r="Q17" i="61"/>
  <c r="P17" i="61"/>
  <c r="O41" i="60"/>
  <c r="N41" i="60"/>
  <c r="O39" i="60"/>
  <c r="O43" i="60" s="1"/>
  <c r="O50" i="60" s="1"/>
  <c r="N39" i="60"/>
  <c r="N43" i="60" s="1"/>
  <c r="N50" i="60" s="1"/>
  <c r="O30" i="60"/>
  <c r="N30" i="60"/>
  <c r="O18" i="60"/>
  <c r="N18" i="60"/>
  <c r="O17" i="60"/>
  <c r="O64" i="60" s="1"/>
  <c r="N17" i="60"/>
  <c r="S43" i="47"/>
  <c r="S50" i="47" s="1"/>
  <c r="S64" i="47" s="1"/>
  <c r="R43" i="47"/>
  <c r="R50" i="47" s="1"/>
  <c r="R64" i="47" s="1"/>
  <c r="S41" i="47"/>
  <c r="R41" i="47"/>
  <c r="S39" i="47"/>
  <c r="R39" i="47"/>
  <c r="S30" i="47"/>
  <c r="R30" i="47"/>
  <c r="S25" i="47"/>
  <c r="R25" i="47"/>
  <c r="S18" i="47"/>
  <c r="R18" i="47"/>
  <c r="S17" i="47"/>
  <c r="R17" i="47"/>
  <c r="AG42" i="46"/>
  <c r="AF42" i="46"/>
  <c r="AE42" i="46"/>
  <c r="AD42" i="46"/>
  <c r="AC42" i="46"/>
  <c r="AB42" i="46"/>
  <c r="AA42" i="46"/>
  <c r="Z42" i="46"/>
  <c r="AG40" i="46"/>
  <c r="AG44" i="46" s="1"/>
  <c r="AG51" i="46" s="1"/>
  <c r="AF40" i="46"/>
  <c r="AF44" i="46" s="1"/>
  <c r="AF51" i="46" s="1"/>
  <c r="AE40" i="46"/>
  <c r="AE44" i="46" s="1"/>
  <c r="AE51" i="46" s="1"/>
  <c r="AD40" i="46"/>
  <c r="AD44" i="46" s="1"/>
  <c r="AD51" i="46" s="1"/>
  <c r="AC40" i="46"/>
  <c r="AC44" i="46" s="1"/>
  <c r="AC51" i="46" s="1"/>
  <c r="AB40" i="46"/>
  <c r="AB44" i="46" s="1"/>
  <c r="AB51" i="46" s="1"/>
  <c r="AA40" i="46"/>
  <c r="AA44" i="46" s="1"/>
  <c r="AA51" i="46" s="1"/>
  <c r="Z40" i="46"/>
  <c r="Z44" i="46" s="1"/>
  <c r="Z51" i="46" s="1"/>
  <c r="AG30" i="46"/>
  <c r="AF30" i="46"/>
  <c r="AE30" i="46"/>
  <c r="AD30" i="46"/>
  <c r="AC30" i="46"/>
  <c r="AB30" i="46"/>
  <c r="AA30" i="46"/>
  <c r="Z30" i="46"/>
  <c r="AG18" i="46"/>
  <c r="AF18" i="46"/>
  <c r="AE18" i="46"/>
  <c r="AD18" i="46"/>
  <c r="AC18" i="46"/>
  <c r="AB18" i="46"/>
  <c r="AA18" i="46"/>
  <c r="Z18" i="46"/>
  <c r="AG17" i="46"/>
  <c r="AF17" i="46"/>
  <c r="AF26" i="46" s="1"/>
  <c r="AF53" i="46" s="1"/>
  <c r="AF62" i="46" s="1"/>
  <c r="AE17" i="46"/>
  <c r="AE65" i="46" s="1"/>
  <c r="AD17" i="46"/>
  <c r="AD65" i="46" s="1"/>
  <c r="AC17" i="46"/>
  <c r="AB17" i="46"/>
  <c r="AA17" i="46"/>
  <c r="Z17" i="46"/>
  <c r="Z26" i="46" s="1"/>
  <c r="Z53" i="46" s="1"/>
  <c r="Z62" i="46" s="1"/>
  <c r="AG16" i="46"/>
  <c r="AF16" i="46"/>
  <c r="AE16" i="46"/>
  <c r="AD16" i="46"/>
  <c r="AC16" i="46"/>
  <c r="AB16" i="46"/>
  <c r="AA16" i="46"/>
  <c r="Z16" i="46"/>
  <c r="AA41" i="32"/>
  <c r="Z41" i="32"/>
  <c r="AA39" i="32"/>
  <c r="AA43" i="32" s="1"/>
  <c r="AA50" i="32" s="1"/>
  <c r="Z39" i="32"/>
  <c r="Z43" i="32" s="1"/>
  <c r="Z50" i="32" s="1"/>
  <c r="AA30" i="32"/>
  <c r="Z30" i="32"/>
  <c r="AA18" i="32"/>
  <c r="Z18" i="32"/>
  <c r="AA17" i="32"/>
  <c r="Z17" i="32"/>
  <c r="AA16" i="32"/>
  <c r="Z16" i="32"/>
  <c r="H65" i="59" l="1"/>
  <c r="H26" i="59"/>
  <c r="H53" i="59" s="1"/>
  <c r="H62" i="59" s="1"/>
  <c r="I65" i="59"/>
  <c r="J65" i="59"/>
  <c r="K65" i="59"/>
  <c r="I26" i="59"/>
  <c r="I53" i="59" s="1"/>
  <c r="I62" i="59" s="1"/>
  <c r="J26" i="59"/>
  <c r="J53" i="59" s="1"/>
  <c r="J62" i="59" s="1"/>
  <c r="P26" i="62"/>
  <c r="P53" i="62" s="1"/>
  <c r="P62" i="62" s="1"/>
  <c r="Q26" i="62"/>
  <c r="Q53" i="62" s="1"/>
  <c r="Q62" i="62" s="1"/>
  <c r="Q65" i="58"/>
  <c r="R65" i="58"/>
  <c r="R26" i="58"/>
  <c r="R53" i="58" s="1"/>
  <c r="R62" i="58" s="1"/>
  <c r="Q26" i="58"/>
  <c r="Q53" i="58" s="1"/>
  <c r="Q62" i="58" s="1"/>
  <c r="Q53" i="52"/>
  <c r="Q62" i="52" s="1"/>
  <c r="P65" i="52"/>
  <c r="P26" i="52"/>
  <c r="P53" i="52" s="1"/>
  <c r="P62" i="52" s="1"/>
  <c r="AA52" i="51"/>
  <c r="AA61" i="51" s="1"/>
  <c r="Z64" i="51"/>
  <c r="Z25" i="51"/>
  <c r="Z52" i="51" s="1"/>
  <c r="Z61" i="51" s="1"/>
  <c r="V26" i="50"/>
  <c r="V53" i="50" s="1"/>
  <c r="V62" i="50" s="1"/>
  <c r="W26" i="50"/>
  <c r="W53" i="50" s="1"/>
  <c r="W62" i="50" s="1"/>
  <c r="P64" i="61"/>
  <c r="P25" i="61"/>
  <c r="P52" i="61" s="1"/>
  <c r="P61" i="61" s="1"/>
  <c r="N64" i="60"/>
  <c r="N25" i="60"/>
  <c r="N52" i="60" s="1"/>
  <c r="N61" i="60" s="1"/>
  <c r="O25" i="60"/>
  <c r="O52" i="60" s="1"/>
  <c r="O61" i="60" s="1"/>
  <c r="R52" i="47"/>
  <c r="R61" i="47" s="1"/>
  <c r="S52" i="47"/>
  <c r="S61" i="47" s="1"/>
  <c r="AC65" i="46"/>
  <c r="AA65" i="46"/>
  <c r="AG65" i="46"/>
  <c r="AB65" i="46"/>
  <c r="AF65" i="46"/>
  <c r="AG26" i="46"/>
  <c r="AG53" i="46" s="1"/>
  <c r="AG62" i="46" s="1"/>
  <c r="Z65" i="46"/>
  <c r="AA26" i="46"/>
  <c r="AA53" i="46" s="1"/>
  <c r="AA62" i="46" s="1"/>
  <c r="AB26" i="46"/>
  <c r="AB53" i="46" s="1"/>
  <c r="AB62" i="46" s="1"/>
  <c r="AC26" i="46"/>
  <c r="AC53" i="46" s="1"/>
  <c r="AC62" i="46" s="1"/>
  <c r="AD26" i="46"/>
  <c r="AD53" i="46" s="1"/>
  <c r="AD62" i="46" s="1"/>
  <c r="AE26" i="46"/>
  <c r="AE53" i="46" s="1"/>
  <c r="AE62" i="46" s="1"/>
  <c r="Z64" i="32"/>
  <c r="AA64" i="32"/>
  <c r="Z25" i="32"/>
  <c r="Z52" i="32" s="1"/>
  <c r="Z61" i="32" s="1"/>
  <c r="AA25" i="32"/>
  <c r="AA52" i="32" s="1"/>
  <c r="AA61" i="32" s="1"/>
  <c r="Y43" i="51" l="1"/>
  <c r="Y50" i="51" s="1"/>
  <c r="Y64" i="51" s="1"/>
  <c r="X43" i="51"/>
  <c r="X50" i="51" s="1"/>
  <c r="X64" i="51" s="1"/>
  <c r="Y41" i="51"/>
  <c r="X41" i="51"/>
  <c r="Y39" i="51"/>
  <c r="X39" i="51"/>
  <c r="Y30" i="51"/>
  <c r="X30" i="51"/>
  <c r="Y25" i="51"/>
  <c r="Y52" i="51" s="1"/>
  <c r="Y61" i="51" s="1"/>
  <c r="X25" i="51"/>
  <c r="X52" i="51" s="1"/>
  <c r="X61" i="51" s="1"/>
  <c r="Y18" i="51"/>
  <c r="X18" i="51"/>
  <c r="Y17" i="51"/>
  <c r="X17" i="51"/>
  <c r="Y16" i="51"/>
  <c r="X16" i="51"/>
  <c r="U42" i="50"/>
  <c r="T42" i="50"/>
  <c r="U40" i="50"/>
  <c r="U44" i="50" s="1"/>
  <c r="U51" i="50" s="1"/>
  <c r="T40" i="50"/>
  <c r="T44" i="50" s="1"/>
  <c r="T51" i="50" s="1"/>
  <c r="U30" i="50"/>
  <c r="T30" i="50"/>
  <c r="U18" i="50"/>
  <c r="T18" i="50"/>
  <c r="U17" i="50"/>
  <c r="T17" i="50"/>
  <c r="O41" i="61"/>
  <c r="N41" i="61"/>
  <c r="O39" i="61"/>
  <c r="N39" i="61"/>
  <c r="N43" i="61" s="1"/>
  <c r="N50" i="61" s="1"/>
  <c r="N64" i="61" s="1"/>
  <c r="O30" i="61"/>
  <c r="N30" i="61"/>
  <c r="O18" i="61"/>
  <c r="N18" i="61"/>
  <c r="N25" i="61" s="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P25" i="47" s="1"/>
  <c r="X44" i="46"/>
  <c r="X51" i="46" s="1"/>
  <c r="X65" i="46" s="1"/>
  <c r="Y42" i="46"/>
  <c r="X42" i="46"/>
  <c r="Y40" i="46"/>
  <c r="Y44" i="46" s="1"/>
  <c r="Y51" i="46" s="1"/>
  <c r="X40" i="46"/>
  <c r="Y30" i="46"/>
  <c r="X30" i="46"/>
  <c r="X26" i="46"/>
  <c r="Y18" i="46"/>
  <c r="X18" i="46"/>
  <c r="Y17" i="46"/>
  <c r="X17" i="46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Y16" i="32"/>
  <c r="X16" i="32"/>
  <c r="T65" i="50" l="1"/>
  <c r="U65" i="50"/>
  <c r="T26" i="50"/>
  <c r="T53" i="50" s="1"/>
  <c r="T62" i="50" s="1"/>
  <c r="U26" i="50"/>
  <c r="U53" i="50" s="1"/>
  <c r="U62" i="50" s="1"/>
  <c r="O43" i="61"/>
  <c r="O50" i="61" s="1"/>
  <c r="O64" i="61" s="1"/>
  <c r="N52" i="61"/>
  <c r="N61" i="61" s="1"/>
  <c r="O25" i="61"/>
  <c r="P52" i="47"/>
  <c r="P61" i="47" s="1"/>
  <c r="Q64" i="47"/>
  <c r="P64" i="47"/>
  <c r="Q25" i="47"/>
  <c r="Q52" i="47" s="1"/>
  <c r="Q61" i="47" s="1"/>
  <c r="X53" i="46"/>
  <c r="X62" i="46" s="1"/>
  <c r="Y65" i="46"/>
  <c r="Y26" i="46"/>
  <c r="Y53" i="46" s="1"/>
  <c r="Y62" i="46" s="1"/>
  <c r="Y64" i="32"/>
  <c r="X64" i="32"/>
  <c r="X25" i="32"/>
  <c r="X52" i="32" s="1"/>
  <c r="X61" i="32" s="1"/>
  <c r="Y25" i="32"/>
  <c r="Y52" i="32" s="1"/>
  <c r="Y61" i="32" s="1"/>
  <c r="G41" i="63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O42" i="52"/>
  <c r="N42" i="52"/>
  <c r="O40" i="52"/>
  <c r="O44" i="52" s="1"/>
  <c r="O51" i="52" s="1"/>
  <c r="N40" i="52"/>
  <c r="N44" i="52" s="1"/>
  <c r="N51" i="52" s="1"/>
  <c r="O30" i="52"/>
  <c r="N30" i="52"/>
  <c r="O18" i="52"/>
  <c r="N18" i="52"/>
  <c r="O17" i="52"/>
  <c r="O65" i="52" s="1"/>
  <c r="N17" i="52"/>
  <c r="N65" i="52" s="1"/>
  <c r="O16" i="52"/>
  <c r="N16" i="52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W42" i="46"/>
  <c r="V42" i="46"/>
  <c r="U42" i="46"/>
  <c r="U17" i="46" s="1"/>
  <c r="T42" i="46"/>
  <c r="T17" i="46" s="1"/>
  <c r="W40" i="46"/>
  <c r="W44" i="46" s="1"/>
  <c r="W51" i="46" s="1"/>
  <c r="V40" i="46"/>
  <c r="V44" i="46" s="1"/>
  <c r="V51" i="46" s="1"/>
  <c r="U40" i="46"/>
  <c r="U44" i="46" s="1"/>
  <c r="U51" i="46" s="1"/>
  <c r="T40" i="46"/>
  <c r="T44" i="46" s="1"/>
  <c r="T51" i="46" s="1"/>
  <c r="W30" i="46"/>
  <c r="V30" i="46"/>
  <c r="U30" i="46"/>
  <c r="T30" i="46"/>
  <c r="W18" i="46"/>
  <c r="V18" i="46"/>
  <c r="U18" i="46"/>
  <c r="T18" i="46"/>
  <c r="W17" i="46"/>
  <c r="W65" i="46" s="1"/>
  <c r="V17" i="46"/>
  <c r="V65" i="46" s="1"/>
  <c r="W16" i="46"/>
  <c r="V16" i="46"/>
  <c r="U16" i="46"/>
  <c r="T16" i="46"/>
  <c r="M43" i="61" l="1"/>
  <c r="M50" i="61" s="1"/>
  <c r="M64" i="61" s="1"/>
  <c r="O52" i="61"/>
  <c r="O61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N26" i="52"/>
  <c r="N53" i="52" s="1"/>
  <c r="N62" i="52" s="1"/>
  <c r="O26" i="52"/>
  <c r="O53" i="52" s="1"/>
  <c r="O62" i="52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V26" i="46"/>
  <c r="V53" i="46" s="1"/>
  <c r="V62" i="46" s="1"/>
  <c r="W26" i="46"/>
  <c r="W53" i="46" s="1"/>
  <c r="W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P26" i="46" s="1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65" i="46" l="1"/>
  <c r="L25" i="47"/>
  <c r="P43" i="32"/>
  <c r="P50" i="32" s="1"/>
  <c r="P64" i="32" s="1"/>
  <c r="R44" i="46"/>
  <c r="R51" i="46" s="1"/>
  <c r="M52" i="47"/>
  <c r="M61" i="47" s="1"/>
  <c r="Q43" i="32"/>
  <c r="Q50" i="32" s="1"/>
  <c r="Q64" i="32" s="1"/>
  <c r="S44" i="46"/>
  <c r="S51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65" i="46"/>
  <c r="R26" i="46"/>
  <c r="R53" i="46" s="1"/>
  <c r="R62" i="46" s="1"/>
  <c r="S65" i="46"/>
  <c r="S26" i="46"/>
  <c r="S53" i="46" s="1"/>
  <c r="S62" i="46" s="1"/>
  <c r="P53" i="46"/>
  <c r="P62" i="46" s="1"/>
  <c r="R64" i="32"/>
  <c r="Q25" i="32"/>
  <c r="R52" i="32"/>
  <c r="R61" i="32" s="1"/>
  <c r="S17" i="32"/>
  <c r="P25" i="32"/>
  <c r="P52" i="32" s="1"/>
  <c r="P61" i="32" s="1"/>
  <c r="Q52" i="32" l="1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N42" i="46"/>
  <c r="O40" i="46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J43" i="61" l="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M44" i="46" s="1"/>
  <c r="M51" i="46" s="1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H43" i="61" l="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I44" i="58"/>
  <c r="I51" i="58" s="1"/>
  <c r="I65" i="58" s="1"/>
  <c r="C44" i="59"/>
  <c r="C51" i="59" s="1"/>
  <c r="C65" i="59" s="1"/>
  <c r="L65" i="46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I52" i="61" l="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J40" i="46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F44" i="46" s="1"/>
  <c r="F51" i="46" s="1"/>
  <c r="F65" i="46" s="1"/>
  <c r="E40" i="46"/>
  <c r="D40" i="46"/>
  <c r="C40" i="46"/>
  <c r="B40" i="46"/>
  <c r="G30" i="46"/>
  <c r="F30" i="46"/>
  <c r="E30" i="46"/>
  <c r="D30" i="46"/>
  <c r="C30" i="46"/>
  <c r="B30" i="46"/>
  <c r="G18" i="46"/>
  <c r="G26" i="46" s="1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E25" i="61" l="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2" i="61" l="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<sst xmlns="http://schemas.openxmlformats.org/spreadsheetml/2006/main" count="4977" uniqueCount="135">
  <si>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</si>
  <si>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</si>
  <si>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</si>
  <si>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</si>
  <si>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</si>
  <si>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</si>
  <si>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</si>
  <si>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</si>
  <si>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</si>
  <si>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</si>
  <si>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</si>
  <si>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</si>
  <si>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</si>
  <si>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</si>
  <si>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</si>
  <si>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</si>
  <si>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</si>
  <si>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</si>
  <si>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</si>
  <si>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</si>
  <si>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</si>
  <si>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</si>
  <si>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</si>
  <si>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</si>
  <si>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</si>
  <si>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</si>
  <si>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</si>
  <si>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</si>
  <si>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</si>
  <si>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</si>
  <si>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</si>
  <si>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</si>
  <si>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</si>
  <si>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</si>
  <si>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</si>
  <si>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</si>
  <si>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</si>
  <si>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</si>
  <si>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</si>
  <si>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</si>
  <si>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</si>
  <si>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</si>
  <si>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</si>
  <si>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</si>
  <si>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</si>
  <si>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</si>
  <si>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</si>
  <si>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</si>
  <si>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</si>
  <si>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</si>
  <si>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</si>
  <si>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</si>
  <si>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</si>
  <si>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</si>
  <si>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</si>
  <si>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</si>
  <si>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</si>
  <si>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</si>
  <si>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</si>
  <si>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</si>
  <si>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</si>
  <si>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</si>
  <si>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</si>
  <si>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</si>
  <si>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</si>
  <si>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</si>
  <si>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</si>
  <si>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</si>
  <si>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</si>
  <si>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</si>
  <si>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</si>
  <si>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</si>
  <si>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</si>
  <si>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</si>
  <si>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</si>
  <si>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</si>
  <si>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</si>
  <si>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</si>
  <si>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</si>
  <si>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</si>
  <si>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</si>
  <si>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</si>
  <si>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</si>
  <si>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</si>
  <si>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</si>
  <si>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</si>
  <si>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</si>
  <si>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</si>
  <si>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</si>
  <si>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</si>
  <si>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</si>
  <si>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</si>
  <si>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</si>
  <si>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</si>
  <si>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</si>
  <si>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</si>
  <si>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</si>
  <si>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</si>
  <si>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</si>
  <si>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</si>
  <si>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</si>
  <si>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</si>
  <si>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</si>
  <si>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</si>
  <si>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</si>
  <si>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</si>
  <si>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</si>
  <si>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</si>
  <si>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</si>
  <si>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</si>
  <si>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</si>
  <si>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</si>
  <si>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</si>
  <si>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</si>
  <si>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</si>
  <si>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</si>
  <si>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</si>
  <si>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</si>
  <si>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</si>
  <si>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</si>
  <si>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</si>
  <si>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</si>
  <si>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</si>
  <si>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</si>
  <si>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</si>
  <si>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</si>
  <si>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</si>
  <si>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</si>
  <si>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</si>
  <si>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</si>
  <si>
    <t>Qualcomm</t>
  </si>
  <si>
    <t>Qualcomm - open loop precoder</t>
  </si>
  <si>
    <t>Qualcomm - closed loop SVD precoder</t>
  </si>
  <si>
    <t>Qualcommm</t>
  </si>
  <si>
    <t>Ref UE
(2Rx, 50MHz)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</si>
</sst>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06" t="s">
        <v>4</v>
      </c>
      <c r="C5" s="106"/>
      <c r="D5" s="106"/>
      <c r="E5" s="106"/>
      <c r="F5" s="106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90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60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8" ht="90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60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0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7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8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8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8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8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9"/>
    </row>
    <row r="66" spans="1:6" ht="30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06" t="s">
        <v>4</v>
      </c>
      <c r="C5" s="106"/>
      <c r="D5" s="106"/>
      <c r="E5" s="106"/>
      <c r="F5" s="106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6" ht="90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60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0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7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8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8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8"/>
    </row>
    <row r="64" spans="1:6" ht="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8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9"/>
    </row>
    <row r="66" spans="1:6" ht="30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 ht="15">
      <c r="A75" s="47"/>
      <c r="B75" s="2"/>
      <c r="C75" s="2"/>
      <c r="D75" s="2"/>
      <c r="E75" s="48"/>
      <c r="F75" s="41"/>
    </row>
    <row r="77" spans="1:6" ht="15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5"/>
  <sheetViews>
    <sheetView workbookViewId="0">
      <pane xSplit="1" ySplit="1" topLeftCell="T2" activePane="bottomRight" state="frozen"/>
      <selection pane="topRight"/>
      <selection pane="bottomLeft"/>
      <selection pane="bottomRight" activeCell="Z1" sqref="Z1:AA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4" width="15.625" style="1" customWidth="1"/>
    <col min="25" max="25" width="13.625" style="1" customWidth="1"/>
    <col min="26" max="26" width="15.625" style="2" customWidth="1"/>
    <col min="27" max="27" width="15.625" style="1" customWidth="1"/>
    <col min="28" max="16384" width="9" style="1"/>
  </cols>
  <sheetData>
    <row r="1" spans="1:27" ht="14.25" customHeight="1">
      <c r="A1" s="3"/>
      <c r="B1" s="112" t="s">
        <v>101</v>
      </c>
      <c r="C1" s="113"/>
      <c r="D1" s="113"/>
      <c r="E1" s="114"/>
      <c r="F1" s="115" t="s">
        <v>102</v>
      </c>
      <c r="G1" s="115"/>
      <c r="H1" s="116" t="s">
        <v>119</v>
      </c>
      <c r="I1" s="117"/>
      <c r="J1" s="117"/>
      <c r="K1" s="118"/>
      <c r="L1" s="112" t="s">
        <v>121</v>
      </c>
      <c r="M1" s="113"/>
      <c r="N1" s="110" t="s">
        <v>126</v>
      </c>
      <c r="O1" s="111"/>
      <c r="P1" s="112" t="s">
        <v>127</v>
      </c>
      <c r="Q1" s="113"/>
      <c r="R1" s="113"/>
      <c r="S1" s="114"/>
      <c r="T1" s="112" t="s">
        <v>128</v>
      </c>
      <c r="U1" s="113"/>
      <c r="V1" s="113"/>
      <c r="W1" s="114"/>
      <c r="X1" s="110" t="s">
        <v>129</v>
      </c>
      <c r="Y1" s="111"/>
      <c r="Z1" s="112" t="s">
        <v>130</v>
      </c>
      <c r="AA1" s="113"/>
    </row>
    <row r="2" spans="1:27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</row>
    <row r="3" spans="1:2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8">
        <v>28</v>
      </c>
      <c r="Y3" s="8">
        <v>28</v>
      </c>
      <c r="Z3" s="8">
        <v>28</v>
      </c>
      <c r="AA3" s="8">
        <v>28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</row>
    <row r="6" spans="1:27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</row>
    <row r="7" spans="1:27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43">
        <v>0.01</v>
      </c>
      <c r="Y7" s="43">
        <v>0.01</v>
      </c>
      <c r="Z7" s="43">
        <v>0.01</v>
      </c>
      <c r="AA7" s="43">
        <v>0.01</v>
      </c>
    </row>
    <row r="8" spans="1:27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</row>
    <row r="9" spans="1:2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86" t="s">
        <v>22</v>
      </c>
      <c r="Y9" s="86" t="s">
        <v>22</v>
      </c>
      <c r="Z9" s="86" t="s">
        <v>22</v>
      </c>
      <c r="AA9" s="86" t="s">
        <v>22</v>
      </c>
    </row>
    <row r="10" spans="1:2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4"/>
      <c r="Y11" s="14"/>
      <c r="Z11" s="14"/>
      <c r="AA11" s="14"/>
    </row>
    <row r="12" spans="1:27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</row>
    <row r="13" spans="1:2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</row>
    <row r="14" spans="1:27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</row>
    <row r="15" spans="1:27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</row>
    <row r="16" spans="1:27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2">X15+10*LOG10(X4)</f>
        <v>23</v>
      </c>
      <c r="Y16" s="8">
        <f t="shared" si="2"/>
        <v>23</v>
      </c>
      <c r="Z16" s="8">
        <f>Z15+10*LOG10(Z4)</f>
        <v>23</v>
      </c>
      <c r="AA16" s="8">
        <f>AA15+10*LOG10(AA4)</f>
        <v>23</v>
      </c>
    </row>
    <row r="17" spans="1:27" ht="30">
      <c r="A17" s="7" t="s">
        <v>35</v>
      </c>
      <c r="B17" s="15">
        <f t="shared" ref="B17:G17" si="3">B15+10*LOG10(B41/1000000)</f>
        <v>21.396037294708371</v>
      </c>
      <c r="C17" s="15">
        <f t="shared" si="3"/>
        <v>21.396037294708371</v>
      </c>
      <c r="D17" s="15">
        <f t="shared" si="3"/>
        <v>18.385737338068559</v>
      </c>
      <c r="E17" s="15">
        <f t="shared" si="3"/>
        <v>18.385737338068559</v>
      </c>
      <c r="F17" s="15">
        <f t="shared" si="3"/>
        <v>21.396037294708371</v>
      </c>
      <c r="G17" s="15">
        <f t="shared" si="3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4">L15+10*LOG10(L41/1000000)</f>
        <v>21.396037294708371</v>
      </c>
      <c r="M17" s="15">
        <f t="shared" si="4"/>
        <v>21.396037294708371</v>
      </c>
      <c r="N17" s="8">
        <f t="shared" ref="N17:S17" si="5">N15+10*LOG10(N41/1000000)</f>
        <v>21.396037294708371</v>
      </c>
      <c r="O17" s="8">
        <f t="shared" si="5"/>
        <v>21.396037294708371</v>
      </c>
      <c r="P17" s="15">
        <f t="shared" si="5"/>
        <v>21.396037294708371</v>
      </c>
      <c r="Q17" s="15">
        <f t="shared" si="5"/>
        <v>21.396037294708371</v>
      </c>
      <c r="R17" s="15">
        <f t="shared" si="5"/>
        <v>18.385737338068559</v>
      </c>
      <c r="S17" s="15">
        <f t="shared" si="5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6">X15+10*LOG10(X41/1000000)</f>
        <v>21.396037294708371</v>
      </c>
      <c r="Y17" s="8">
        <f t="shared" si="6"/>
        <v>21.396037294708371</v>
      </c>
      <c r="Z17" s="8">
        <f>Z15+10*LOG10(Z41/1000000)</f>
        <v>21.396037294708371</v>
      </c>
      <c r="AA17" s="8">
        <f>AA15+10*LOG10(AA41/1000000)</f>
        <v>21.396037294708371</v>
      </c>
    </row>
    <row r="18" spans="1:27" ht="45">
      <c r="A18" s="16" t="s">
        <v>37</v>
      </c>
      <c r="B18" s="15">
        <f t="shared" ref="B18:G18" si="7">B19+10*LOG10(B12/B13)-B20</f>
        <v>26.061799739838872</v>
      </c>
      <c r="C18" s="15">
        <f t="shared" si="7"/>
        <v>26.061799739838872</v>
      </c>
      <c r="D18" s="15">
        <f t="shared" si="7"/>
        <v>26.061799739838872</v>
      </c>
      <c r="E18" s="15">
        <f t="shared" si="7"/>
        <v>26.061799739838872</v>
      </c>
      <c r="F18" s="15">
        <f t="shared" si="7"/>
        <v>20.591799739838873</v>
      </c>
      <c r="G18" s="15">
        <f t="shared" si="7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8">L19+10*LOG10(L12/L13)-L20</f>
        <v>22.581799739838871</v>
      </c>
      <c r="M18" s="15">
        <f t="shared" si="8"/>
        <v>22.581799739838871</v>
      </c>
      <c r="N18" s="8">
        <f t="shared" ref="N18:S18" si="9">N19+10*LOG10(N12/N13)-N20</f>
        <v>26.061799739838872</v>
      </c>
      <c r="O18" s="8">
        <f t="shared" si="9"/>
        <v>26.061799739838872</v>
      </c>
      <c r="P18" s="15">
        <f t="shared" si="9"/>
        <v>26.061799739838872</v>
      </c>
      <c r="Q18" s="15">
        <f t="shared" si="9"/>
        <v>26.061799739838872</v>
      </c>
      <c r="R18" s="15">
        <f t="shared" si="9"/>
        <v>26.061799739838872</v>
      </c>
      <c r="S18" s="15">
        <f t="shared" si="9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0">X19+10*LOG10(X12/X13)-X20</f>
        <v>26.061799739838872</v>
      </c>
      <c r="Y18" s="8">
        <f t="shared" si="10"/>
        <v>26.061799739838872</v>
      </c>
      <c r="Z18" s="8">
        <f>Z19+10*LOG10(Z12/Z13)-Z20</f>
        <v>26.061799739838872</v>
      </c>
      <c r="AA18" s="8">
        <f>AA19+10*LOG10(AA12/AA13)-AA20</f>
        <v>26.061799739838872</v>
      </c>
    </row>
    <row r="19" spans="1:27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</row>
    <row r="20" spans="1:27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</row>
    <row r="22" spans="1:27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</row>
    <row r="25" spans="1:27" ht="15">
      <c r="A25" s="7" t="s">
        <v>49</v>
      </c>
      <c r="B25" s="15">
        <f t="shared" ref="B25:G25" si="11">B17+B18+B21+B22-B24</f>
        <v>44.457837034547239</v>
      </c>
      <c r="C25" s="15">
        <f t="shared" si="11"/>
        <v>44.457837034547239</v>
      </c>
      <c r="D25" s="15">
        <f t="shared" si="11"/>
        <v>41.447537077907427</v>
      </c>
      <c r="E25" s="15">
        <f t="shared" si="11"/>
        <v>41.447537077907427</v>
      </c>
      <c r="F25" s="15">
        <f t="shared" si="11"/>
        <v>38.98783703454724</v>
      </c>
      <c r="G25" s="15">
        <f t="shared" si="11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2">L17+L18+L21+L22-L24</f>
        <v>40.977837034547242</v>
      </c>
      <c r="M25" s="15">
        <f t="shared" si="12"/>
        <v>40.977837034547242</v>
      </c>
      <c r="N25" s="8">
        <f t="shared" ref="N25:S25" si="13">N17+N18+N21+N22-N24</f>
        <v>44.457837034547239</v>
      </c>
      <c r="O25" s="8">
        <f t="shared" si="13"/>
        <v>44.457837034547239</v>
      </c>
      <c r="P25" s="15">
        <f t="shared" si="13"/>
        <v>44.457837034547239</v>
      </c>
      <c r="Q25" s="15">
        <f t="shared" si="13"/>
        <v>44.457837034547239</v>
      </c>
      <c r="R25" s="15">
        <f t="shared" si="13"/>
        <v>41.447537077907427</v>
      </c>
      <c r="S25" s="15">
        <f t="shared" si="13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4">X17+X18+X21+X22-X24</f>
        <v>44.457837034547239</v>
      </c>
      <c r="Y25" s="8">
        <f t="shared" si="14"/>
        <v>44.457837034547239</v>
      </c>
      <c r="Z25" s="8">
        <f>Z17+Z18+Z21+Z22-Z24</f>
        <v>44.457837034547239</v>
      </c>
      <c r="AA25" s="8">
        <f>AA17+AA18+AA21+AA22-AA24</f>
        <v>44.457837034547239</v>
      </c>
    </row>
    <row r="26" spans="1:27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</row>
    <row r="27" spans="1:27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</row>
    <row r="29" spans="1:27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</row>
    <row r="30" spans="1:27" ht="45">
      <c r="A30" s="7" t="s">
        <v>55</v>
      </c>
      <c r="B30" s="15">
        <f t="shared" ref="B30:G30" si="15">B31+10*LOG10(B28/B29)-B32</f>
        <v>11.020599913279625</v>
      </c>
      <c r="C30" s="15">
        <f t="shared" si="15"/>
        <v>11.020599913279625</v>
      </c>
      <c r="D30" s="15">
        <f t="shared" si="15"/>
        <v>11.020599913279625</v>
      </c>
      <c r="E30" s="15">
        <f t="shared" si="15"/>
        <v>11.020599913279625</v>
      </c>
      <c r="F30" s="15">
        <f t="shared" si="15"/>
        <v>11.020599913279625</v>
      </c>
      <c r="G30" s="15">
        <f t="shared" si="15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6">L31+10*LOG10(L28/L29)-L32</f>
        <v>11.020599913279625</v>
      </c>
      <c r="M30" s="15">
        <f t="shared" si="16"/>
        <v>11.020599913279625</v>
      </c>
      <c r="N30" s="8">
        <f t="shared" ref="N30:S30" si="17">N31+10*LOG10(N28/N29)-N32</f>
        <v>11.020599913279625</v>
      </c>
      <c r="O30" s="8">
        <f t="shared" si="17"/>
        <v>11.020599913279625</v>
      </c>
      <c r="P30" s="15">
        <f t="shared" si="17"/>
        <v>11.020599913279625</v>
      </c>
      <c r="Q30" s="15">
        <f t="shared" si="17"/>
        <v>11.020599913279625</v>
      </c>
      <c r="R30" s="15">
        <f t="shared" si="17"/>
        <v>11.020599913279625</v>
      </c>
      <c r="S30" s="15">
        <f t="shared" si="17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8">
        <f t="shared" ref="X30:Y30" si="18">X31+10*LOG10(X28/X29)-X32</f>
        <v>11.020599913279625</v>
      </c>
      <c r="Y30" s="8">
        <f t="shared" si="18"/>
        <v>11.020599913279625</v>
      </c>
      <c r="Z30" s="8">
        <f>Z31+10*LOG10(Z28/Z29)-Z32</f>
        <v>11.020599913279625</v>
      </c>
      <c r="AA30" s="8">
        <f>AA31+10*LOG10(AA28/AA29)-AA32</f>
        <v>11.020599913279625</v>
      </c>
    </row>
    <row r="31" spans="1:27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</row>
    <row r="32" spans="1:27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86">
        <v>0</v>
      </c>
      <c r="Y32" s="86">
        <v>0</v>
      </c>
      <c r="Z32" s="86">
        <v>0</v>
      </c>
      <c r="AA32" s="86">
        <v>0</v>
      </c>
    </row>
    <row r="33" spans="1:27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</row>
    <row r="35" spans="1:27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</row>
    <row r="38" spans="1:27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</row>
    <row r="39" spans="1:27" ht="30">
      <c r="A39" s="7" t="s">
        <v>108</v>
      </c>
      <c r="B39" s="15">
        <f t="shared" ref="B39:G39" si="19">10*LOG10(10^((B35+B36)/10)+10^(B37/10))</f>
        <v>-167.00000000000003</v>
      </c>
      <c r="C39" s="15">
        <f t="shared" si="19"/>
        <v>-167.00000000000003</v>
      </c>
      <c r="D39" s="15">
        <f t="shared" si="19"/>
        <v>-167.00000000000003</v>
      </c>
      <c r="E39" s="15">
        <f t="shared" si="19"/>
        <v>-167.00000000000003</v>
      </c>
      <c r="F39" s="15">
        <f t="shared" si="19"/>
        <v>-164</v>
      </c>
      <c r="G39" s="15">
        <f t="shared" si="19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0">10*LOG10(10^((L35+L36)/10)+10^(L37/10))</f>
        <v>-163.58607314841774</v>
      </c>
      <c r="M39" s="15">
        <f t="shared" si="20"/>
        <v>-163.58607314841774</v>
      </c>
      <c r="N39" s="8">
        <f t="shared" ref="N39:S39" si="21">10*LOG10(10^((N35+N36)/10)+10^(N37/10))</f>
        <v>-166.20990250347435</v>
      </c>
      <c r="O39" s="8">
        <f t="shared" si="21"/>
        <v>-166.20990250347435</v>
      </c>
      <c r="P39" s="15">
        <f t="shared" si="21"/>
        <v>-167.00000000000003</v>
      </c>
      <c r="Q39" s="15">
        <f t="shared" si="21"/>
        <v>-167.00000000000003</v>
      </c>
      <c r="R39" s="15">
        <f t="shared" si="21"/>
        <v>-167.00000000000003</v>
      </c>
      <c r="S39" s="15">
        <f t="shared" si="21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2">10*LOG10(10^((X35+X36)/10)+10^(X37/10))</f>
        <v>-166.20990250347435</v>
      </c>
      <c r="Y39" s="8">
        <f t="shared" si="22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</row>
    <row r="40" spans="1:27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</row>
    <row r="41" spans="1:27" ht="15">
      <c r="A41" s="24" t="s">
        <v>68</v>
      </c>
      <c r="B41" s="15">
        <f t="shared" ref="B41:C41" si="23">48*12*120*1000</f>
        <v>69120000</v>
      </c>
      <c r="C41" s="15">
        <f t="shared" si="23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24">48*12*120*1000</f>
        <v>69120000</v>
      </c>
      <c r="I41" s="73">
        <f t="shared" si="24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25">48*12*120*1000</f>
        <v>69120000</v>
      </c>
      <c r="O41" s="8">
        <f t="shared" si="25"/>
        <v>69120000</v>
      </c>
      <c r="P41" s="15">
        <f t="shared" si="25"/>
        <v>69120000</v>
      </c>
      <c r="Q41" s="15">
        <f t="shared" si="25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6">48*12*120*1000</f>
        <v>69120000</v>
      </c>
      <c r="U41" s="8">
        <f t="shared" si="26"/>
        <v>69120000</v>
      </c>
      <c r="V41" s="8">
        <f>24*12*120*1000</f>
        <v>34560000</v>
      </c>
      <c r="W41" s="8">
        <f>24*12*120*1000</f>
        <v>34560000</v>
      </c>
      <c r="X41" s="8">
        <f t="shared" ref="X41:AA41" si="27">48*12*120*1000</f>
        <v>69120000</v>
      </c>
      <c r="Y41" s="8">
        <f t="shared" si="27"/>
        <v>69120000</v>
      </c>
      <c r="Z41" s="8">
        <f t="shared" si="27"/>
        <v>69120000</v>
      </c>
      <c r="AA41" s="8">
        <f t="shared" si="27"/>
        <v>69120000</v>
      </c>
    </row>
    <row r="42" spans="1:27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</row>
    <row r="43" spans="1:27" ht="15">
      <c r="A43" s="7" t="s">
        <v>71</v>
      </c>
      <c r="B43" s="15">
        <f t="shared" ref="B43:G43" si="28">B39+10*LOG10(B41)</f>
        <v>-88.603962705291664</v>
      </c>
      <c r="C43" s="15">
        <f t="shared" si="28"/>
        <v>-88.603962705291664</v>
      </c>
      <c r="D43" s="15">
        <f t="shared" si="28"/>
        <v>-91.614262661931477</v>
      </c>
      <c r="E43" s="15">
        <f t="shared" si="28"/>
        <v>-91.614262661931477</v>
      </c>
      <c r="F43" s="15">
        <f t="shared" si="28"/>
        <v>-85.603962705291636</v>
      </c>
      <c r="G43" s="15">
        <f t="shared" si="28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29">L39+10*LOG10(L41)</f>
        <v>-85.190035853709375</v>
      </c>
      <c r="M43" s="15">
        <f t="shared" si="29"/>
        <v>-85.190035853709375</v>
      </c>
      <c r="N43" s="8">
        <f t="shared" ref="N43:S43" si="30">N39+10*LOG10(N41)</f>
        <v>-87.813865208765989</v>
      </c>
      <c r="O43" s="8">
        <f t="shared" si="30"/>
        <v>-87.813865208765989</v>
      </c>
      <c r="P43" s="15">
        <f t="shared" si="30"/>
        <v>-88.603962705291664</v>
      </c>
      <c r="Q43" s="15">
        <f t="shared" si="30"/>
        <v>-88.603962705291664</v>
      </c>
      <c r="R43" s="15">
        <f t="shared" si="30"/>
        <v>-91.614262661931477</v>
      </c>
      <c r="S43" s="15">
        <f t="shared" si="30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1">X39+10*LOG10(X41)</f>
        <v>-87.813865208765989</v>
      </c>
      <c r="Y43" s="8">
        <f t="shared" si="31"/>
        <v>-87.813865208765989</v>
      </c>
      <c r="Z43" s="8">
        <f>Z39+10*LOG10(Z41)</f>
        <v>-88.603962705291664</v>
      </c>
      <c r="AA43" s="8">
        <f>AA39+10*LOG10(AA41)</f>
        <v>-88.603962705291664</v>
      </c>
    </row>
    <row r="44" spans="1:27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</row>
    <row r="45" spans="1:27" ht="1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</row>
    <row r="46" spans="1:27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</row>
    <row r="47" spans="1:27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</row>
    <row r="50" spans="1:27" ht="30">
      <c r="A50" s="7" t="s">
        <v>80</v>
      </c>
      <c r="B50" s="15">
        <f t="shared" ref="B50:G50" si="32">B43+B45+B47-B48</f>
        <v>-92.00396270529167</v>
      </c>
      <c r="C50" s="15">
        <f t="shared" si="32"/>
        <v>-87.903962705291661</v>
      </c>
      <c r="D50" s="15">
        <f t="shared" si="32"/>
        <v>-94.414262661931474</v>
      </c>
      <c r="E50" s="15">
        <f t="shared" si="32"/>
        <v>-90.114262661931477</v>
      </c>
      <c r="F50" s="15">
        <f t="shared" si="32"/>
        <v>-91.523962705291638</v>
      </c>
      <c r="G50" s="15">
        <f t="shared" si="32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33">L43+L45+L47-L48</f>
        <v>-89.500035853709377</v>
      </c>
      <c r="M50" s="15">
        <f t="shared" si="33"/>
        <v>-85.760035853709368</v>
      </c>
      <c r="N50" s="8">
        <f t="shared" ref="N50:S50" si="34">N43+N45+N47-N48</f>
        <v>-88.063865208765989</v>
      </c>
      <c r="O50" s="8">
        <f t="shared" si="34"/>
        <v>-84.813865208765989</v>
      </c>
      <c r="P50" s="15">
        <f t="shared" si="34"/>
        <v>-94.073962705291663</v>
      </c>
      <c r="Q50" s="15">
        <f t="shared" si="34"/>
        <v>-90.393962705291671</v>
      </c>
      <c r="R50" s="15">
        <f t="shared" si="34"/>
        <v>-93.374262661931482</v>
      </c>
      <c r="S50" s="15">
        <f t="shared" si="34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35">X43+X45+X47-X48</f>
        <v>-92.813865208765989</v>
      </c>
      <c r="Y50" s="8">
        <f t="shared" si="35"/>
        <v>-89.013865208765992</v>
      </c>
      <c r="Z50" s="8">
        <f>Z43+Z45+Z47-Z48</f>
        <v>-94.917462705291669</v>
      </c>
      <c r="AA50" s="8">
        <f>AA43+AA45+AA47-AA48</f>
        <v>-91.603962705291664</v>
      </c>
    </row>
    <row r="51" spans="1:27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</row>
    <row r="52" spans="1:27" ht="30">
      <c r="A52" s="26" t="s">
        <v>83</v>
      </c>
      <c r="B52" s="39">
        <f t="shared" ref="B52:K52" si="36">B25+B30+B33-B34-B50</f>
        <v>146.48239965311853</v>
      </c>
      <c r="C52" s="39">
        <f t="shared" si="36"/>
        <v>142.38239965311851</v>
      </c>
      <c r="D52" s="39">
        <f t="shared" si="36"/>
        <v>145.88239965311851</v>
      </c>
      <c r="E52" s="39">
        <f t="shared" si="36"/>
        <v>141.58239965311853</v>
      </c>
      <c r="F52" s="39">
        <f t="shared" si="36"/>
        <v>140.53239965311849</v>
      </c>
      <c r="G52" s="39">
        <f t="shared" si="36"/>
        <v>137.15239965311849</v>
      </c>
      <c r="H52" s="76">
        <f t="shared" si="36"/>
        <v>145.90239965311855</v>
      </c>
      <c r="I52" s="76">
        <f>I25+I30+I33-I34-I50</f>
        <v>140.97239965311854</v>
      </c>
      <c r="J52" s="76">
        <f t="shared" si="36"/>
        <v>145.74239965311853</v>
      </c>
      <c r="K52" s="76">
        <f t="shared" si="36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37">N25+N30+N33-N34-N50</f>
        <v>142.54230215659285</v>
      </c>
      <c r="O52" s="39">
        <f>O25+O30+O33-O34-O50</f>
        <v>139.29230215659285</v>
      </c>
      <c r="P52" s="39">
        <f t="shared" ref="P52:X52" si="38">P25+P30+P33-P34-P50</f>
        <v>148.55239965311853</v>
      </c>
      <c r="Q52" s="39">
        <f>Q25+Q30+Q33-Q34-Q50</f>
        <v>144.87239965311852</v>
      </c>
      <c r="R52" s="39">
        <f t="shared" si="38"/>
        <v>144.84239965311855</v>
      </c>
      <c r="S52" s="39">
        <f t="shared" si="38"/>
        <v>140.25239965311852</v>
      </c>
      <c r="T52" s="39">
        <f t="shared" si="38"/>
        <v>133.08239965311853</v>
      </c>
      <c r="U52" s="39">
        <f>U25+U30+U33-U34-U50</f>
        <v>129.18239965311852</v>
      </c>
      <c r="V52" s="39">
        <f t="shared" si="38"/>
        <v>131.18239965311852</v>
      </c>
      <c r="W52" s="39">
        <f t="shared" si="38"/>
        <v>127.08239965311853</v>
      </c>
      <c r="X52" s="39">
        <f t="shared" si="38"/>
        <v>147.29230215659285</v>
      </c>
      <c r="Y52" s="39">
        <f>Y25+Y30+Y33-Y34-Y50</f>
        <v>143.49230215659287</v>
      </c>
      <c r="Z52" s="39">
        <f t="shared" ref="Z52" si="39">Z25+Z30+Z33-Z34-Z50</f>
        <v>149.39589965311853</v>
      </c>
      <c r="AA52" s="39">
        <f>AA25+AA30+AA33-AA34-AA50</f>
        <v>146.08239965311853</v>
      </c>
    </row>
    <row r="53" spans="1:27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</row>
    <row r="54" spans="1:27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</row>
    <row r="56" spans="1:27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</row>
    <row r="57" spans="1:27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</row>
    <row r="58" spans="1:2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86">
        <v>0</v>
      </c>
      <c r="Y59" s="86">
        <v>0</v>
      </c>
      <c r="Z59" s="86">
        <v>0</v>
      </c>
      <c r="AA59" s="86">
        <v>0</v>
      </c>
    </row>
    <row r="60" spans="1:2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26" t="s">
        <v>110</v>
      </c>
      <c r="B61" s="39">
        <f t="shared" ref="B61:K61" si="40">B52-B56+B58-B59+B60</f>
        <v>146.48239965311853</v>
      </c>
      <c r="C61" s="39">
        <f t="shared" si="40"/>
        <v>142.38239965311851</v>
      </c>
      <c r="D61" s="39">
        <f t="shared" si="40"/>
        <v>145.88239965311851</v>
      </c>
      <c r="E61" s="39">
        <f t="shared" si="40"/>
        <v>141.58239965311853</v>
      </c>
      <c r="F61" s="39">
        <f t="shared" si="40"/>
        <v>140.53239965311849</v>
      </c>
      <c r="G61" s="39">
        <f t="shared" si="40"/>
        <v>137.15239965311849</v>
      </c>
      <c r="H61" s="76">
        <f t="shared" si="40"/>
        <v>145.90239965311855</v>
      </c>
      <c r="I61" s="76">
        <f>I52-I56+I58-I59+I60</f>
        <v>140.97239965311854</v>
      </c>
      <c r="J61" s="76">
        <f t="shared" si="40"/>
        <v>145.74239965311853</v>
      </c>
      <c r="K61" s="76">
        <f t="shared" si="40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41">N52-N56+N58-N59+N60</f>
        <v>134.06230215659286</v>
      </c>
      <c r="O61" s="39">
        <f>O52-O56+O58-O59+O60</f>
        <v>130.81230215659286</v>
      </c>
      <c r="P61" s="39">
        <f t="shared" ref="P61:X61" si="42">P52-P56+P58-P59+P60</f>
        <v>148.55239965311853</v>
      </c>
      <c r="Q61" s="39">
        <f>Q52-Q56+Q58-Q59+Q60</f>
        <v>144.87239965311852</v>
      </c>
      <c r="R61" s="39">
        <f t="shared" si="42"/>
        <v>144.84239965311855</v>
      </c>
      <c r="S61" s="39">
        <f t="shared" si="42"/>
        <v>140.25239965311852</v>
      </c>
      <c r="T61" s="27">
        <f t="shared" si="42"/>
        <v>133.08239965311853</v>
      </c>
      <c r="U61" s="27">
        <f>U52-U56+U58-U59+U60</f>
        <v>129.18239965311852</v>
      </c>
      <c r="V61" s="27">
        <f t="shared" si="42"/>
        <v>131.18239965311852</v>
      </c>
      <c r="W61" s="27">
        <f t="shared" si="42"/>
        <v>127.08239965311853</v>
      </c>
      <c r="X61" s="39">
        <f t="shared" si="42"/>
        <v>138.81230215659286</v>
      </c>
      <c r="Y61" s="39">
        <f>Y52-Y56+Y58-Y59+Y60</f>
        <v>135.01230215659288</v>
      </c>
      <c r="Z61" s="39">
        <f t="shared" ref="Z61" si="43">Z52-Z56+Z58-Z59+Z60</f>
        <v>149.39589965311853</v>
      </c>
      <c r="AA61" s="39">
        <f>AA52-AA56+AA58-AA59+AA60</f>
        <v>146.08239965311853</v>
      </c>
    </row>
    <row r="62" spans="1:27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</row>
    <row r="63" spans="1:27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</row>
    <row r="64" spans="1:27" ht="15">
      <c r="A64" s="26" t="s">
        <v>97</v>
      </c>
      <c r="B64" s="39">
        <f t="shared" ref="B64:G64" si="44">B17+B22-B50+B21+B33</f>
        <v>113.40000000000003</v>
      </c>
      <c r="C64" s="39">
        <f t="shared" si="44"/>
        <v>109.30000000000004</v>
      </c>
      <c r="D64" s="39">
        <f t="shared" si="44"/>
        <v>112.80000000000004</v>
      </c>
      <c r="E64" s="39">
        <f t="shared" si="44"/>
        <v>108.50000000000003</v>
      </c>
      <c r="F64" s="39">
        <f t="shared" si="44"/>
        <v>112.92000000000002</v>
      </c>
      <c r="G64" s="39">
        <f t="shared" si="4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45">L17+L22-L50+L21+L33</f>
        <v>110.89607314841774</v>
      </c>
      <c r="M64" s="27">
        <f t="shared" si="45"/>
        <v>107.15607314841773</v>
      </c>
      <c r="N64" s="39">
        <f t="shared" ref="N64:S64" si="46">N17+N22-N50+N21+N33</f>
        <v>109.45990250347435</v>
      </c>
      <c r="O64" s="39">
        <f t="shared" si="46"/>
        <v>106.20990250347435</v>
      </c>
      <c r="P64" s="39">
        <f t="shared" si="46"/>
        <v>115.47000000000003</v>
      </c>
      <c r="Q64" s="39">
        <f t="shared" si="46"/>
        <v>111.79000000000005</v>
      </c>
      <c r="R64" s="39">
        <f t="shared" si="46"/>
        <v>111.76000000000005</v>
      </c>
      <c r="S64" s="39">
        <f t="shared" si="46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39">
        <f t="shared" ref="X64:Y64" si="47">X17+X22-X50+X21+X33</f>
        <v>114.20990250347435</v>
      </c>
      <c r="Y64" s="39">
        <f t="shared" si="47"/>
        <v>110.40990250347437</v>
      </c>
      <c r="Z64" s="39">
        <f>Z17+Z22-Z50+Z21+Z33</f>
        <v>116.31350000000003</v>
      </c>
      <c r="AA64" s="39">
        <f>AA17+AA22-AA50+AA21+AA33</f>
        <v>113.00000000000003</v>
      </c>
    </row>
    <row r="65" spans="1:27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</row>
  </sheetData>
  <mergeCells count="9">
    <mergeCell ref="Z1:AA1"/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5"/>
  <sheetViews>
    <sheetView workbookViewId="0">
      <pane xSplit="1" ySplit="1" topLeftCell="T2" activePane="bottomRight" state="frozen"/>
      <selection pane="topRight"/>
      <selection pane="bottomLeft"/>
      <selection pane="bottomRight" activeCell="Z1" sqref="Z1:AG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3" width="15.625" style="1" customWidth="1"/>
    <col min="24" max="24" width="16.5" style="1" customWidth="1"/>
    <col min="25" max="25" width="12.875" style="1" customWidth="1"/>
    <col min="26" max="26" width="15.625" style="2" customWidth="1"/>
    <col min="27" max="29" width="15.625" style="1" customWidth="1"/>
    <col min="30" max="30" width="15.625" style="2" customWidth="1"/>
    <col min="31" max="33" width="15.625" style="1" customWidth="1"/>
    <col min="34" max="16384" width="9" style="1"/>
  </cols>
  <sheetData>
    <row r="1" spans="1:33" ht="14.25" customHeight="1">
      <c r="A1" s="3"/>
      <c r="B1" s="112" t="s">
        <v>101</v>
      </c>
      <c r="C1" s="113"/>
      <c r="D1" s="113"/>
      <c r="E1" s="114"/>
      <c r="F1" s="112" t="s">
        <v>102</v>
      </c>
      <c r="G1" s="113"/>
      <c r="H1" s="116" t="s">
        <v>119</v>
      </c>
      <c r="I1" s="117"/>
      <c r="J1" s="117"/>
      <c r="K1" s="118"/>
      <c r="L1" s="112" t="s">
        <v>122</v>
      </c>
      <c r="M1" s="113"/>
      <c r="N1" s="112" t="s">
        <v>126</v>
      </c>
      <c r="O1" s="113"/>
      <c r="P1" s="112" t="s">
        <v>127</v>
      </c>
      <c r="Q1" s="113"/>
      <c r="R1" s="113"/>
      <c r="S1" s="114"/>
      <c r="T1" s="112" t="s">
        <v>128</v>
      </c>
      <c r="U1" s="113"/>
      <c r="V1" s="113"/>
      <c r="W1" s="114"/>
      <c r="X1" s="112" t="s">
        <v>129</v>
      </c>
      <c r="Y1" s="113"/>
      <c r="Z1" s="112" t="s">
        <v>131</v>
      </c>
      <c r="AA1" s="113"/>
      <c r="AB1" s="113"/>
      <c r="AC1" s="114"/>
      <c r="AD1" s="112" t="s">
        <v>132</v>
      </c>
      <c r="AE1" s="113"/>
      <c r="AF1" s="113"/>
      <c r="AG1" s="114"/>
    </row>
    <row r="2" spans="1:33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31" t="s">
        <v>103</v>
      </c>
      <c r="Y2" s="104" t="s">
        <v>104</v>
      </c>
      <c r="Z2" s="31" t="s">
        <v>103</v>
      </c>
      <c r="AA2" s="105" t="s">
        <v>104</v>
      </c>
      <c r="AB2" s="105" t="s">
        <v>105</v>
      </c>
      <c r="AC2" s="105" t="s">
        <v>106</v>
      </c>
      <c r="AD2" s="31" t="s">
        <v>103</v>
      </c>
      <c r="AE2" s="105" t="s">
        <v>104</v>
      </c>
      <c r="AF2" s="105" t="s">
        <v>105</v>
      </c>
      <c r="AG2" s="105" t="s">
        <v>106</v>
      </c>
    </row>
    <row r="3" spans="1:3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  <c r="AB3" s="8">
        <v>28</v>
      </c>
      <c r="AC3" s="8">
        <v>28</v>
      </c>
      <c r="AD3" s="8">
        <v>28</v>
      </c>
      <c r="AE3" s="8">
        <v>28</v>
      </c>
      <c r="AF3" s="8">
        <v>28</v>
      </c>
      <c r="AG3" s="8">
        <v>28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</row>
    <row r="5" spans="1:3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  <c r="AD5" s="99" t="s">
        <v>16</v>
      </c>
      <c r="AE5" s="99" t="s">
        <v>16</v>
      </c>
      <c r="AF5" s="99" t="s">
        <v>16</v>
      </c>
      <c r="AG5" s="99" t="s">
        <v>16</v>
      </c>
    </row>
    <row r="6" spans="1:33" ht="1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8">
        <v>25000000</v>
      </c>
      <c r="W6" s="8">
        <v>25000000</v>
      </c>
      <c r="X6" s="8">
        <v>25000000</v>
      </c>
      <c r="Y6" s="8">
        <v>25000000</v>
      </c>
      <c r="Z6" s="8">
        <v>25000000</v>
      </c>
      <c r="AA6" s="8">
        <v>25000000</v>
      </c>
      <c r="AB6" s="8">
        <v>25000000</v>
      </c>
      <c r="AC6" s="8">
        <v>25000000</v>
      </c>
      <c r="AD6" s="8">
        <v>25000000</v>
      </c>
      <c r="AE6" s="8">
        <v>25000000</v>
      </c>
      <c r="AF6" s="8">
        <v>25000000</v>
      </c>
      <c r="AG6" s="8">
        <v>25000000</v>
      </c>
    </row>
    <row r="7" spans="1:3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  <c r="Z7" s="99" t="s">
        <v>16</v>
      </c>
      <c r="AA7" s="99" t="s">
        <v>16</v>
      </c>
      <c r="AB7" s="99" t="s">
        <v>16</v>
      </c>
      <c r="AC7" s="99" t="s">
        <v>16</v>
      </c>
      <c r="AD7" s="99" t="s">
        <v>16</v>
      </c>
      <c r="AE7" s="99" t="s">
        <v>16</v>
      </c>
      <c r="AF7" s="99" t="s">
        <v>16</v>
      </c>
      <c r="AG7" s="99" t="s">
        <v>16</v>
      </c>
    </row>
    <row r="8" spans="1:33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43">
        <v>0.1</v>
      </c>
      <c r="W8" s="43">
        <v>0.1</v>
      </c>
      <c r="X8" s="43">
        <v>0.1</v>
      </c>
      <c r="Y8" s="43">
        <v>0.1</v>
      </c>
      <c r="Z8" s="43">
        <v>0.1</v>
      </c>
      <c r="AA8" s="43">
        <v>0.1</v>
      </c>
      <c r="AB8" s="43">
        <v>0.1</v>
      </c>
      <c r="AC8" s="43">
        <v>0.1</v>
      </c>
      <c r="AD8" s="43">
        <v>0.1</v>
      </c>
      <c r="AE8" s="43">
        <v>0.1</v>
      </c>
      <c r="AF8" s="43">
        <v>0.1</v>
      </c>
      <c r="AG8" s="43">
        <v>0.1</v>
      </c>
    </row>
    <row r="9" spans="1:3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86" t="s">
        <v>22</v>
      </c>
      <c r="AC9" s="86" t="s">
        <v>22</v>
      </c>
      <c r="AD9" s="86" t="s">
        <v>22</v>
      </c>
      <c r="AE9" s="86" t="s">
        <v>22</v>
      </c>
      <c r="AF9" s="86" t="s">
        <v>22</v>
      </c>
      <c r="AG9" s="86" t="s">
        <v>22</v>
      </c>
    </row>
    <row r="10" spans="1:3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</row>
    <row r="11" spans="1:33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8">
        <v>128</v>
      </c>
      <c r="AC12" s="8">
        <v>128</v>
      </c>
      <c r="AD12" s="8">
        <v>128</v>
      </c>
      <c r="AE12" s="8">
        <v>128</v>
      </c>
      <c r="AF12" s="8">
        <v>128</v>
      </c>
      <c r="AG12" s="8">
        <v>128</v>
      </c>
    </row>
    <row r="13" spans="1:3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</row>
    <row r="14" spans="1:33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</row>
    <row r="15" spans="1:33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</row>
    <row r="16" spans="1:33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AG16" si="3">X15+10*LOG10(X4)</f>
        <v>23</v>
      </c>
      <c r="Y16" s="8">
        <f t="shared" si="3"/>
        <v>23</v>
      </c>
      <c r="Z16" s="8">
        <f t="shared" si="3"/>
        <v>23</v>
      </c>
      <c r="AA16" s="8">
        <f t="shared" si="3"/>
        <v>23</v>
      </c>
      <c r="AB16" s="8">
        <f t="shared" si="3"/>
        <v>23</v>
      </c>
      <c r="AC16" s="8">
        <f t="shared" si="3"/>
        <v>23</v>
      </c>
      <c r="AD16" s="8">
        <f t="shared" si="3"/>
        <v>23</v>
      </c>
      <c r="AE16" s="8">
        <f t="shared" si="3"/>
        <v>23</v>
      </c>
      <c r="AF16" s="8">
        <f t="shared" si="3"/>
        <v>23</v>
      </c>
      <c r="AG16" s="8">
        <f t="shared" si="3"/>
        <v>23</v>
      </c>
    </row>
    <row r="17" spans="1:33" ht="30">
      <c r="A17" s="7" t="s">
        <v>35</v>
      </c>
      <c r="B17" s="15">
        <f t="shared" ref="B17:G17" si="4">B15+10*LOG10(B42/1000000)</f>
        <v>21.01815168581437</v>
      </c>
      <c r="C17" s="15">
        <f t="shared" si="4"/>
        <v>21.01815168581437</v>
      </c>
      <c r="D17" s="15">
        <f t="shared" si="4"/>
        <v>18.733358400660677</v>
      </c>
      <c r="E17" s="15">
        <f t="shared" si="4"/>
        <v>18.733358400660677</v>
      </c>
      <c r="F17" s="15">
        <f t="shared" si="4"/>
        <v>22.065505191014502</v>
      </c>
      <c r="G17" s="15">
        <f t="shared" si="4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5">L15+10*LOG10(L42/1000000)</f>
        <v>22.779064276371184</v>
      </c>
      <c r="M17" s="13">
        <f t="shared" si="5"/>
        <v>22.779064276371184</v>
      </c>
      <c r="N17" s="8">
        <f t="shared" ref="N17:S17" si="6">N15+10*LOG10(N42/1000000)</f>
        <v>22.779064276371184</v>
      </c>
      <c r="O17" s="8">
        <f t="shared" si="6"/>
        <v>22.779064276371184</v>
      </c>
      <c r="P17" s="15">
        <f t="shared" si="6"/>
        <v>22.779064276371184</v>
      </c>
      <c r="Q17" s="15">
        <f t="shared" si="6"/>
        <v>22.779064276371184</v>
      </c>
      <c r="R17" s="15">
        <f t="shared" si="6"/>
        <v>19.635124704151558</v>
      </c>
      <c r="S17" s="15">
        <f t="shared" si="6"/>
        <v>19.635124704151558</v>
      </c>
      <c r="T17" s="8">
        <f>T15+10*LOG10(T42/1000000)</f>
        <v>22.365137424788934</v>
      </c>
      <c r="U17" s="8">
        <f>U15+10*LOG10(U42/1000000)</f>
        <v>22.365137424788934</v>
      </c>
      <c r="V17" s="8">
        <f>V15+10*LOG10(V42/1000000)</f>
        <v>19.354837468149121</v>
      </c>
      <c r="W17" s="8">
        <f>W15+10*LOG10(W42/1000000)</f>
        <v>19.354837468149121</v>
      </c>
      <c r="X17" s="8">
        <f t="shared" ref="X17:AG17" si="7">X15+10*LOG10(X42/1000000)</f>
        <v>21.659326681931859</v>
      </c>
      <c r="Y17" s="8">
        <f t="shared" si="7"/>
        <v>21.659326681931859</v>
      </c>
      <c r="Z17" s="8">
        <f t="shared" si="7"/>
        <v>22.779064276371184</v>
      </c>
      <c r="AA17" s="8">
        <f t="shared" si="7"/>
        <v>22.779064276371184</v>
      </c>
      <c r="AB17" s="8">
        <f t="shared" si="7"/>
        <v>19.635124704151558</v>
      </c>
      <c r="AC17" s="8">
        <f t="shared" si="7"/>
        <v>19.635124704151558</v>
      </c>
      <c r="AD17" s="8">
        <f t="shared" si="7"/>
        <v>22.779064276371184</v>
      </c>
      <c r="AE17" s="8">
        <f t="shared" si="7"/>
        <v>22.779064276371184</v>
      </c>
      <c r="AF17" s="8">
        <f t="shared" si="7"/>
        <v>19.635124704151558</v>
      </c>
      <c r="AG17" s="8">
        <f t="shared" si="7"/>
        <v>19.635124704151558</v>
      </c>
    </row>
    <row r="18" spans="1:33" ht="45">
      <c r="A18" s="16" t="s">
        <v>37</v>
      </c>
      <c r="B18" s="15">
        <f t="shared" ref="B18:G18" si="8">B19+10*LOG10(B12/B13)-B20</f>
        <v>26.061799739838872</v>
      </c>
      <c r="C18" s="15">
        <f t="shared" si="8"/>
        <v>26.061799739838872</v>
      </c>
      <c r="D18" s="15">
        <f t="shared" si="8"/>
        <v>26.061799739838872</v>
      </c>
      <c r="E18" s="15">
        <f t="shared" si="8"/>
        <v>26.061799739838872</v>
      </c>
      <c r="F18" s="15">
        <f t="shared" si="8"/>
        <v>20.591799739838873</v>
      </c>
      <c r="G18" s="15">
        <f t="shared" si="8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9">L19+10*LOG10(L12/L13)-L20</f>
        <v>22.581799739838871</v>
      </c>
      <c r="M18" s="13">
        <f t="shared" si="9"/>
        <v>22.581799739838871</v>
      </c>
      <c r="N18" s="8">
        <f t="shared" ref="N18:S18" si="10">N19+10*LOG10(N12/N13)-N20</f>
        <v>26.061799739838872</v>
      </c>
      <c r="O18" s="8">
        <f t="shared" si="10"/>
        <v>26.061799739838872</v>
      </c>
      <c r="P18" s="15">
        <f t="shared" si="10"/>
        <v>26.061799739838872</v>
      </c>
      <c r="Q18" s="15">
        <f t="shared" si="10"/>
        <v>26.061799739838872</v>
      </c>
      <c r="R18" s="15">
        <f t="shared" si="10"/>
        <v>26.061799739838872</v>
      </c>
      <c r="S18" s="15">
        <f t="shared" si="10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AG18" si="11">X19+10*LOG10(X12/X13)-X20</f>
        <v>26.061799739838872</v>
      </c>
      <c r="Y18" s="8">
        <f t="shared" si="11"/>
        <v>26.061799739838872</v>
      </c>
      <c r="Z18" s="8">
        <f t="shared" si="11"/>
        <v>26.061799739838872</v>
      </c>
      <c r="AA18" s="8">
        <f t="shared" si="11"/>
        <v>26.061799739838872</v>
      </c>
      <c r="AB18" s="8">
        <f t="shared" si="11"/>
        <v>26.061799739838872</v>
      </c>
      <c r="AC18" s="8">
        <f t="shared" si="11"/>
        <v>26.061799739838872</v>
      </c>
      <c r="AD18" s="8">
        <f t="shared" si="11"/>
        <v>26.061799739838872</v>
      </c>
      <c r="AE18" s="8">
        <f t="shared" si="11"/>
        <v>26.061799739838872</v>
      </c>
      <c r="AF18" s="8">
        <f t="shared" si="11"/>
        <v>26.061799739838872</v>
      </c>
      <c r="AG18" s="8">
        <f t="shared" si="11"/>
        <v>26.061799739838872</v>
      </c>
    </row>
    <row r="19" spans="1:33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8">
        <v>8</v>
      </c>
      <c r="AC19" s="8">
        <v>8</v>
      </c>
      <c r="AD19" s="8">
        <v>8</v>
      </c>
      <c r="AE19" s="8">
        <v>8</v>
      </c>
      <c r="AF19" s="8">
        <v>8</v>
      </c>
      <c r="AG19" s="8">
        <v>8</v>
      </c>
    </row>
    <row r="20" spans="1:33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</row>
    <row r="21" spans="1:3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</row>
    <row r="22" spans="1:33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</row>
    <row r="25" spans="1:3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  <c r="Z25" s="99" t="s">
        <v>16</v>
      </c>
      <c r="AA25" s="99" t="s">
        <v>16</v>
      </c>
      <c r="AB25" s="99" t="s">
        <v>16</v>
      </c>
      <c r="AC25" s="99" t="s">
        <v>16</v>
      </c>
      <c r="AD25" s="99" t="s">
        <v>16</v>
      </c>
      <c r="AE25" s="99" t="s">
        <v>16</v>
      </c>
      <c r="AF25" s="99" t="s">
        <v>16</v>
      </c>
      <c r="AG25" s="99" t="s">
        <v>16</v>
      </c>
    </row>
    <row r="26" spans="1:33" ht="15">
      <c r="A26" s="7" t="s">
        <v>51</v>
      </c>
      <c r="B26" s="15">
        <f t="shared" ref="B26:G26" si="12">B17+B18+B21-B23-B24</f>
        <v>44.079951425653242</v>
      </c>
      <c r="C26" s="15">
        <f t="shared" si="12"/>
        <v>44.079951425653242</v>
      </c>
      <c r="D26" s="15">
        <f t="shared" si="12"/>
        <v>41.795158140499552</v>
      </c>
      <c r="E26" s="15">
        <f t="shared" si="12"/>
        <v>41.795158140499552</v>
      </c>
      <c r="F26" s="15">
        <f t="shared" si="12"/>
        <v>39.657304930853371</v>
      </c>
      <c r="G26" s="15">
        <f t="shared" si="12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3">L17+L18+L21-L23-L24</f>
        <v>42.360864016210058</v>
      </c>
      <c r="M26" s="13">
        <f t="shared" si="13"/>
        <v>42.360864016210058</v>
      </c>
      <c r="N26" s="8">
        <f t="shared" ref="N26:S26" si="14">N17+N18+N21-N23-N24</f>
        <v>45.840864016210055</v>
      </c>
      <c r="O26" s="8">
        <f t="shared" si="14"/>
        <v>45.840864016210055</v>
      </c>
      <c r="P26" s="15">
        <f t="shared" si="14"/>
        <v>45.840864016210055</v>
      </c>
      <c r="Q26" s="15">
        <f t="shared" si="14"/>
        <v>45.840864016210055</v>
      </c>
      <c r="R26" s="15">
        <f t="shared" si="14"/>
        <v>42.696924443990426</v>
      </c>
      <c r="S26" s="15">
        <f t="shared" si="14"/>
        <v>42.696924443990426</v>
      </c>
      <c r="T26" s="8">
        <f>T17+T18+T21-T23-T24</f>
        <v>36.426937164627802</v>
      </c>
      <c r="U26" s="8">
        <f>U17+U18+U21-U23-U24</f>
        <v>36.426937164627802</v>
      </c>
      <c r="V26" s="8">
        <f>V17+V18+V21-V23-V24</f>
        <v>33.416637207987989</v>
      </c>
      <c r="W26" s="8">
        <f>W17+W18+W21-W23-W24</f>
        <v>33.416637207987989</v>
      </c>
      <c r="X26" s="8">
        <f t="shared" ref="X26:AG26" si="15">X17+X18+X21-X23-X24</f>
        <v>44.721126421770734</v>
      </c>
      <c r="Y26" s="8">
        <f t="shared" si="15"/>
        <v>44.721126421770734</v>
      </c>
      <c r="Z26" s="8">
        <f t="shared" si="15"/>
        <v>45.840864016210055</v>
      </c>
      <c r="AA26" s="8">
        <f t="shared" si="15"/>
        <v>45.840864016210055</v>
      </c>
      <c r="AB26" s="8">
        <f t="shared" si="15"/>
        <v>42.696924443990426</v>
      </c>
      <c r="AC26" s="8">
        <f t="shared" si="15"/>
        <v>42.696924443990426</v>
      </c>
      <c r="AD26" s="8">
        <f t="shared" si="15"/>
        <v>45.840864016210055</v>
      </c>
      <c r="AE26" s="8">
        <f t="shared" si="15"/>
        <v>45.840864016210055</v>
      </c>
      <c r="AF26" s="8">
        <f t="shared" si="15"/>
        <v>42.696924443990426</v>
      </c>
      <c r="AG26" s="8">
        <f t="shared" si="15"/>
        <v>42.696924443990426</v>
      </c>
    </row>
    <row r="27" spans="1:33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8">
        <v>8</v>
      </c>
      <c r="AC28" s="8">
        <v>4</v>
      </c>
      <c r="AD28" s="8">
        <v>8</v>
      </c>
      <c r="AE28" s="8">
        <v>4</v>
      </c>
      <c r="AF28" s="8">
        <v>8</v>
      </c>
      <c r="AG28" s="8">
        <v>4</v>
      </c>
    </row>
    <row r="29" spans="1:33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8">
        <v>2</v>
      </c>
      <c r="AC29" s="8">
        <v>1</v>
      </c>
      <c r="AD29" s="8">
        <v>2</v>
      </c>
      <c r="AE29" s="8">
        <v>1</v>
      </c>
      <c r="AF29" s="8">
        <v>2</v>
      </c>
      <c r="AG29" s="8">
        <v>1</v>
      </c>
    </row>
    <row r="30" spans="1:33" ht="45">
      <c r="A30" s="7" t="s">
        <v>55</v>
      </c>
      <c r="B30" s="15">
        <f t="shared" ref="B30:G30" si="16">B31+10*LOG10(B28/B29)-B32</f>
        <v>11.020599913279625</v>
      </c>
      <c r="C30" s="15">
        <f t="shared" si="16"/>
        <v>11.020599913279625</v>
      </c>
      <c r="D30" s="15">
        <f t="shared" si="16"/>
        <v>11.020599913279625</v>
      </c>
      <c r="E30" s="15">
        <f t="shared" si="16"/>
        <v>11.020599913279625</v>
      </c>
      <c r="F30" s="15">
        <f t="shared" si="16"/>
        <v>11.020599913279625</v>
      </c>
      <c r="G30" s="15">
        <f t="shared" si="16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17">L31+10*LOG10(L28/L29)-L32</f>
        <v>11.020599913279625</v>
      </c>
      <c r="M30" s="13">
        <f t="shared" si="17"/>
        <v>11.020599913279625</v>
      </c>
      <c r="N30" s="8">
        <f t="shared" ref="N30:S30" si="18">N31+10*LOG10(N28/N29)-N32</f>
        <v>11.020599913279625</v>
      </c>
      <c r="O30" s="8">
        <f t="shared" si="18"/>
        <v>11.020599913279625</v>
      </c>
      <c r="P30" s="15">
        <f t="shared" si="18"/>
        <v>11.020599913279625</v>
      </c>
      <c r="Q30" s="15">
        <f t="shared" si="18"/>
        <v>11.020599913279625</v>
      </c>
      <c r="R30" s="15">
        <f t="shared" si="18"/>
        <v>11.020599913279625</v>
      </c>
      <c r="S30" s="15">
        <f t="shared" si="18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AG30" si="19">X31+10*LOG10(X28/X29)-X32</f>
        <v>11.020599913279625</v>
      </c>
      <c r="Y30" s="8">
        <f t="shared" si="19"/>
        <v>11.020599913279625</v>
      </c>
      <c r="Z30" s="8">
        <f t="shared" si="19"/>
        <v>11.020599913279625</v>
      </c>
      <c r="AA30" s="8">
        <f t="shared" si="19"/>
        <v>11.020599913279625</v>
      </c>
      <c r="AB30" s="8">
        <f t="shared" si="19"/>
        <v>11.020599913279625</v>
      </c>
      <c r="AC30" s="8">
        <f t="shared" si="19"/>
        <v>11.020599913279625</v>
      </c>
      <c r="AD30" s="8">
        <f t="shared" si="19"/>
        <v>11.020599913279625</v>
      </c>
      <c r="AE30" s="8">
        <f t="shared" si="19"/>
        <v>11.020599913279625</v>
      </c>
      <c r="AF30" s="8">
        <f t="shared" si="19"/>
        <v>11.020599913279625</v>
      </c>
      <c r="AG30" s="8">
        <f t="shared" si="19"/>
        <v>11.020599913279625</v>
      </c>
    </row>
    <row r="31" spans="1:33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8">
        <v>5</v>
      </c>
      <c r="AC31" s="8">
        <v>5</v>
      </c>
      <c r="AD31" s="8">
        <v>5</v>
      </c>
      <c r="AE31" s="8">
        <v>5</v>
      </c>
      <c r="AF31" s="8">
        <v>5</v>
      </c>
      <c r="AG31" s="8">
        <v>5</v>
      </c>
    </row>
    <row r="32" spans="1:33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</row>
    <row r="33" spans="1:33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</row>
    <row r="35" spans="1:33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</row>
    <row r="36" spans="1:3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</row>
    <row r="37" spans="1:3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</row>
    <row r="38" spans="1:3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-999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-999</v>
      </c>
      <c r="AG38" s="86">
        <v>-999</v>
      </c>
    </row>
    <row r="39" spans="1:33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  <c r="Z39" s="99" t="s">
        <v>16</v>
      </c>
      <c r="AA39" s="99" t="s">
        <v>16</v>
      </c>
      <c r="AB39" s="99" t="s">
        <v>16</v>
      </c>
      <c r="AC39" s="99" t="s">
        <v>16</v>
      </c>
      <c r="AD39" s="99" t="s">
        <v>16</v>
      </c>
      <c r="AE39" s="99" t="s">
        <v>16</v>
      </c>
      <c r="AF39" s="99" t="s">
        <v>16</v>
      </c>
      <c r="AG39" s="99" t="s">
        <v>16</v>
      </c>
    </row>
    <row r="40" spans="1:33" ht="30">
      <c r="A40" s="7" t="s">
        <v>109</v>
      </c>
      <c r="B40" s="15">
        <f t="shared" ref="B40:G40" si="20">10*LOG10(10^((B35+B36)/10)+10^(B38/10))</f>
        <v>-167.00000000000003</v>
      </c>
      <c r="C40" s="15">
        <f t="shared" si="20"/>
        <v>-167.00000000000003</v>
      </c>
      <c r="D40" s="15">
        <f t="shared" si="20"/>
        <v>-167.00000000000003</v>
      </c>
      <c r="E40" s="15">
        <f t="shared" si="20"/>
        <v>-167.00000000000003</v>
      </c>
      <c r="F40" s="15">
        <f t="shared" si="20"/>
        <v>-164</v>
      </c>
      <c r="G40" s="15">
        <f t="shared" si="2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1">10*LOG10(10^((L35+L36)/10)+10^(L38/10))</f>
        <v>-163.58607314841774</v>
      </c>
      <c r="M40" s="13">
        <f t="shared" si="21"/>
        <v>-163.58607314841774</v>
      </c>
      <c r="N40" s="8">
        <f t="shared" ref="N40:S40" si="22">10*LOG10(10^((N35+N36)/10)+10^(N38/10))</f>
        <v>-166.20990250347435</v>
      </c>
      <c r="O40" s="8">
        <f t="shared" si="22"/>
        <v>-166.20990250347435</v>
      </c>
      <c r="P40" s="15">
        <f t="shared" si="22"/>
        <v>-167.00000000000003</v>
      </c>
      <c r="Q40" s="15">
        <f t="shared" si="22"/>
        <v>-167.00000000000003</v>
      </c>
      <c r="R40" s="15">
        <f t="shared" si="22"/>
        <v>-167.00000000000003</v>
      </c>
      <c r="S40" s="15">
        <f t="shared" si="22"/>
        <v>-167.00000000000003</v>
      </c>
      <c r="T40" s="8">
        <f>10*LOG10(10^((T35+T36)/10)+10^(T38/10))</f>
        <v>-167.00000000000003</v>
      </c>
      <c r="U40" s="8">
        <f>10*LOG10(10^((U35+U36)/10)+10^(U38/10))</f>
        <v>-167.00000000000003</v>
      </c>
      <c r="V40" s="8">
        <f>10*LOG10(10^((V35+V36)/10)+10^(V38/10))</f>
        <v>-167.00000000000003</v>
      </c>
      <c r="W40" s="8">
        <f>10*LOG10(10^((W35+W36)/10)+10^(W38/10))</f>
        <v>-167.00000000000003</v>
      </c>
      <c r="X40" s="8">
        <f t="shared" ref="X40:AG40" si="23">10*LOG10(10^((X35+X36)/10)+10^(X38/10))</f>
        <v>-167.00000000000003</v>
      </c>
      <c r="Y40" s="8">
        <f t="shared" si="23"/>
        <v>-167.00000000000003</v>
      </c>
      <c r="Z40" s="8">
        <f t="shared" si="23"/>
        <v>-167.00000000000003</v>
      </c>
      <c r="AA40" s="8">
        <f t="shared" si="23"/>
        <v>-167.00000000000003</v>
      </c>
      <c r="AB40" s="8">
        <f t="shared" si="23"/>
        <v>-167.00000000000003</v>
      </c>
      <c r="AC40" s="8">
        <f t="shared" si="23"/>
        <v>-167.00000000000003</v>
      </c>
      <c r="AD40" s="8">
        <f t="shared" si="23"/>
        <v>-167.00000000000003</v>
      </c>
      <c r="AE40" s="8">
        <f t="shared" si="23"/>
        <v>-167.00000000000003</v>
      </c>
      <c r="AF40" s="8">
        <f t="shared" si="23"/>
        <v>-167.00000000000003</v>
      </c>
      <c r="AG40" s="8">
        <f t="shared" si="23"/>
        <v>-167.00000000000003</v>
      </c>
    </row>
    <row r="41" spans="1:3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</row>
    <row r="42" spans="1:33" ht="15">
      <c r="A42" s="36" t="s">
        <v>70</v>
      </c>
      <c r="B42" s="25">
        <f t="shared" ref="B42:G42" si="24">44*12*120*1000</f>
        <v>63360000</v>
      </c>
      <c r="C42" s="25">
        <f t="shared" si="24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24"/>
        <v>63360000</v>
      </c>
      <c r="H42" s="83">
        <f>60*12*120*1000</f>
        <v>86400000</v>
      </c>
      <c r="I42" s="83">
        <f t="shared" ref="I42" si="25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26">66*12*120*1000</f>
        <v>95040000</v>
      </c>
      <c r="M42" s="92">
        <f t="shared" si="26"/>
        <v>95040000</v>
      </c>
      <c r="N42" s="88">
        <f t="shared" si="26"/>
        <v>95040000</v>
      </c>
      <c r="O42" s="88">
        <f t="shared" si="26"/>
        <v>95040000</v>
      </c>
      <c r="P42" s="92">
        <f t="shared" si="26"/>
        <v>95040000</v>
      </c>
      <c r="Q42" s="92">
        <f t="shared" si="26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27">60*12*120*1000</f>
        <v>86400000</v>
      </c>
      <c r="V42" s="88">
        <f>30*12*120*1000</f>
        <v>43200000</v>
      </c>
      <c r="W42" s="88">
        <f>30*12*120*1000</f>
        <v>43200000</v>
      </c>
      <c r="X42" s="92">
        <f>51*12*120*1000</f>
        <v>73440000</v>
      </c>
      <c r="Y42" s="92">
        <f>51*12*120*1000</f>
        <v>73440000</v>
      </c>
      <c r="Z42" s="88">
        <f>66*12*120*1000</f>
        <v>95040000</v>
      </c>
      <c r="AA42" s="88">
        <f>66*12*120*1000</f>
        <v>95040000</v>
      </c>
      <c r="AB42" s="88">
        <f>32*12*120*1000</f>
        <v>46080000</v>
      </c>
      <c r="AC42" s="88">
        <f>32*12*120*1000</f>
        <v>46080000</v>
      </c>
      <c r="AD42" s="88">
        <f>66*12*120*1000</f>
        <v>95040000</v>
      </c>
      <c r="AE42" s="88">
        <f>66*12*120*1000</f>
        <v>95040000</v>
      </c>
      <c r="AF42" s="88">
        <f>32*12*120*1000</f>
        <v>46080000</v>
      </c>
      <c r="AG42" s="88">
        <f>32*12*120*1000</f>
        <v>46080000</v>
      </c>
    </row>
    <row r="43" spans="1:33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8" t="s">
        <v>16</v>
      </c>
      <c r="AC43" s="8" t="s">
        <v>16</v>
      </c>
      <c r="AD43" s="8" t="s">
        <v>16</v>
      </c>
      <c r="AE43" s="8" t="s">
        <v>16</v>
      </c>
      <c r="AF43" s="8" t="s">
        <v>16</v>
      </c>
      <c r="AG43" s="8" t="s">
        <v>16</v>
      </c>
    </row>
    <row r="44" spans="1:33" ht="15">
      <c r="A44" s="7" t="s">
        <v>72</v>
      </c>
      <c r="B44" s="15">
        <f t="shared" ref="B44:G44" si="28">B40+10*LOG10(B42)</f>
        <v>-88.981848314185655</v>
      </c>
      <c r="C44" s="15">
        <f t="shared" si="28"/>
        <v>-88.981848314185655</v>
      </c>
      <c r="D44" s="15">
        <f t="shared" si="28"/>
        <v>-91.266641599339351</v>
      </c>
      <c r="E44" s="15">
        <f t="shared" si="28"/>
        <v>-91.266641599339351</v>
      </c>
      <c r="F44" s="15">
        <f t="shared" si="28"/>
        <v>-84.934494808985505</v>
      </c>
      <c r="G44" s="15">
        <f t="shared" si="28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29">L40+10*LOG10(L42)</f>
        <v>-83.807008872046552</v>
      </c>
      <c r="M44" s="13">
        <f t="shared" si="29"/>
        <v>-83.807008872046552</v>
      </c>
      <c r="N44" s="8">
        <f t="shared" ref="N44:S44" si="30">N40+10*LOG10(N42)</f>
        <v>-86.430838227103166</v>
      </c>
      <c r="O44" s="8">
        <f t="shared" si="30"/>
        <v>-86.430838227103166</v>
      </c>
      <c r="P44" s="15">
        <f t="shared" si="30"/>
        <v>-87.220935723628841</v>
      </c>
      <c r="Q44" s="15">
        <f t="shared" si="30"/>
        <v>-87.220935723628841</v>
      </c>
      <c r="R44" s="15">
        <f t="shared" si="30"/>
        <v>-90.364875295848478</v>
      </c>
      <c r="S44" s="15">
        <f t="shared" si="30"/>
        <v>-90.364875295848478</v>
      </c>
      <c r="T44" s="8">
        <f>T40+10*LOG10(T42)</f>
        <v>-87.634862575211102</v>
      </c>
      <c r="U44" s="8">
        <f>U40+10*LOG10(U42)</f>
        <v>-87.634862575211102</v>
      </c>
      <c r="V44" s="8">
        <f>V40+10*LOG10(V42)</f>
        <v>-90.645162531850914</v>
      </c>
      <c r="W44" s="8">
        <f>W40+10*LOG10(W42)</f>
        <v>-90.645162531850914</v>
      </c>
      <c r="X44" s="8">
        <f t="shared" ref="X44:AG44" si="31">X40+10*LOG10(X42)</f>
        <v>-88.34067331806817</v>
      </c>
      <c r="Y44" s="8">
        <f t="shared" si="31"/>
        <v>-88.34067331806817</v>
      </c>
      <c r="Z44" s="8">
        <f t="shared" si="31"/>
        <v>-87.220935723628841</v>
      </c>
      <c r="AA44" s="8">
        <f t="shared" si="31"/>
        <v>-87.220935723628841</v>
      </c>
      <c r="AB44" s="8">
        <f t="shared" si="31"/>
        <v>-90.364875295848478</v>
      </c>
      <c r="AC44" s="8">
        <f t="shared" si="31"/>
        <v>-90.364875295848478</v>
      </c>
      <c r="AD44" s="8">
        <f t="shared" si="31"/>
        <v>-87.220935723628841</v>
      </c>
      <c r="AE44" s="8">
        <f t="shared" si="31"/>
        <v>-87.220935723628841</v>
      </c>
      <c r="AF44" s="8">
        <f t="shared" si="31"/>
        <v>-90.364875295848478</v>
      </c>
      <c r="AG44" s="8">
        <f t="shared" si="31"/>
        <v>-90.364875295848478</v>
      </c>
    </row>
    <row r="45" spans="1:3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</row>
    <row r="46" spans="1:33" ht="1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88">
        <v>-2</v>
      </c>
      <c r="W46" s="88">
        <v>2.2000000000000002</v>
      </c>
      <c r="X46" s="92">
        <v>-1.36</v>
      </c>
      <c r="Y46" s="92">
        <v>2.77</v>
      </c>
      <c r="Z46" s="88">
        <v>-0.8286</v>
      </c>
      <c r="AA46" s="88">
        <v>3.4047000000000001</v>
      </c>
      <c r="AB46" s="88">
        <v>2.6328</v>
      </c>
      <c r="AC46" s="88">
        <v>7.6826999999999996</v>
      </c>
      <c r="AD46" s="88">
        <v>-4.1543999999999999</v>
      </c>
      <c r="AE46" s="88">
        <v>-0.99139999999999995</v>
      </c>
      <c r="AF46" s="88">
        <v>-1.0429999999999999</v>
      </c>
      <c r="AG46" s="88">
        <v>2.7235</v>
      </c>
    </row>
    <row r="47" spans="1:33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</row>
    <row r="48" spans="1:33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</row>
    <row r="50" spans="1:3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  <c r="Z50" s="99" t="s">
        <v>16</v>
      </c>
      <c r="AA50" s="99" t="s">
        <v>16</v>
      </c>
      <c r="AB50" s="99" t="s">
        <v>16</v>
      </c>
      <c r="AC50" s="99" t="s">
        <v>16</v>
      </c>
      <c r="AD50" s="99" t="s">
        <v>16</v>
      </c>
      <c r="AE50" s="99" t="s">
        <v>16</v>
      </c>
      <c r="AF50" s="99" t="s">
        <v>16</v>
      </c>
      <c r="AG50" s="99" t="s">
        <v>16</v>
      </c>
    </row>
    <row r="51" spans="1:33" ht="30">
      <c r="A51" s="7" t="s">
        <v>82</v>
      </c>
      <c r="B51" s="15">
        <f t="shared" ref="B51:G51" si="32">B44+B46+B47-B49</f>
        <v>-87.181848314185658</v>
      </c>
      <c r="C51" s="15">
        <f t="shared" si="32"/>
        <v>-82.281848314185652</v>
      </c>
      <c r="D51" s="15">
        <f t="shared" si="32"/>
        <v>-85.166641599339357</v>
      </c>
      <c r="E51" s="15">
        <f t="shared" si="32"/>
        <v>-79.066641599339349</v>
      </c>
      <c r="F51" s="15">
        <f t="shared" si="32"/>
        <v>-84.834494808985511</v>
      </c>
      <c r="G51" s="15">
        <f t="shared" si="32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33">L44+L46+L47-L49</f>
        <v>-83.597008872046558</v>
      </c>
      <c r="M51" s="13">
        <f t="shared" si="33"/>
        <v>-78.447008872046553</v>
      </c>
      <c r="N51" s="8">
        <f t="shared" ref="N51:S51" si="34">N44+N46+N47-N49</f>
        <v>-83.430838227103166</v>
      </c>
      <c r="O51" s="8">
        <f t="shared" si="34"/>
        <v>-80.130838227103169</v>
      </c>
      <c r="P51" s="15">
        <f t="shared" si="34"/>
        <v>-87.110935723628842</v>
      </c>
      <c r="Q51" s="15">
        <f t="shared" si="34"/>
        <v>-82.570935723628835</v>
      </c>
      <c r="R51" s="15">
        <f t="shared" si="34"/>
        <v>-84.664875295848475</v>
      </c>
      <c r="S51" s="15">
        <f t="shared" si="34"/>
        <v>-78.564875295848481</v>
      </c>
      <c r="T51" s="8">
        <f>T44+T46+T47-T49</f>
        <v>-87.934862575211099</v>
      </c>
      <c r="U51" s="8">
        <f>U44+U46+U47-U49</f>
        <v>-83.934862575211099</v>
      </c>
      <c r="V51" s="8">
        <f>V44+V46+V47-V49</f>
        <v>-90.645162531850914</v>
      </c>
      <c r="W51" s="8">
        <f>W44+W46+W47-W49</f>
        <v>-86.445162531850912</v>
      </c>
      <c r="X51" s="8">
        <f t="shared" ref="X51:AG51" si="35">X44+X46+X47-X49</f>
        <v>-87.700673318068169</v>
      </c>
      <c r="Y51" s="8">
        <f t="shared" si="35"/>
        <v>-83.570673318068174</v>
      </c>
      <c r="Z51" s="8">
        <f t="shared" si="35"/>
        <v>-86.049535723628836</v>
      </c>
      <c r="AA51" s="8">
        <f t="shared" si="35"/>
        <v>-81.816235723628836</v>
      </c>
      <c r="AB51" s="8">
        <f t="shared" si="35"/>
        <v>-85.732075295848475</v>
      </c>
      <c r="AC51" s="8">
        <f t="shared" si="35"/>
        <v>-80.682175295848481</v>
      </c>
      <c r="AD51" s="8">
        <f t="shared" si="35"/>
        <v>-89.375335723628837</v>
      </c>
      <c r="AE51" s="8">
        <f t="shared" si="35"/>
        <v>-86.21233572362884</v>
      </c>
      <c r="AF51" s="8">
        <f t="shared" si="35"/>
        <v>-89.407875295848484</v>
      </c>
      <c r="AG51" s="8">
        <f t="shared" si="35"/>
        <v>-85.641375295848476</v>
      </c>
    </row>
    <row r="52" spans="1:3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00" t="s">
        <v>16</v>
      </c>
      <c r="Y52" s="100" t="s">
        <v>16</v>
      </c>
      <c r="Z52" s="100" t="s">
        <v>16</v>
      </c>
      <c r="AA52" s="100" t="s">
        <v>16</v>
      </c>
      <c r="AB52" s="100" t="s">
        <v>16</v>
      </c>
      <c r="AC52" s="100" t="s">
        <v>16</v>
      </c>
      <c r="AD52" s="100" t="s">
        <v>16</v>
      </c>
      <c r="AE52" s="100" t="s">
        <v>16</v>
      </c>
      <c r="AF52" s="100" t="s">
        <v>16</v>
      </c>
      <c r="AG52" s="100" t="s">
        <v>16</v>
      </c>
    </row>
    <row r="53" spans="1:33" ht="30">
      <c r="A53" s="26" t="s">
        <v>85</v>
      </c>
      <c r="B53" s="39">
        <f t="shared" ref="B53:K53" si="36">B26+B30+B33-B34-B51</f>
        <v>141.28239965311852</v>
      </c>
      <c r="C53" s="39">
        <f t="shared" si="36"/>
        <v>136.38239965311851</v>
      </c>
      <c r="D53" s="39">
        <f t="shared" si="36"/>
        <v>136.98239965311853</v>
      </c>
      <c r="E53" s="39">
        <f t="shared" si="36"/>
        <v>130.88239965311851</v>
      </c>
      <c r="F53" s="39">
        <f t="shared" si="36"/>
        <v>134.51239965311851</v>
      </c>
      <c r="G53" s="39">
        <f t="shared" si="36"/>
        <v>129.16239965311848</v>
      </c>
      <c r="H53" s="76">
        <f t="shared" si="36"/>
        <v>142.89239965311853</v>
      </c>
      <c r="I53" s="76">
        <f>I26+I30+I33-I34-I51</f>
        <v>138.79239965311854</v>
      </c>
      <c r="J53" s="76">
        <f t="shared" si="36"/>
        <v>137.22239965311852</v>
      </c>
      <c r="K53" s="76">
        <f t="shared" si="36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37">N26+N30+N33-N34-N51</f>
        <v>139.29230215659285</v>
      </c>
      <c r="O53" s="39">
        <f>O26+O30+O33-O34-O51</f>
        <v>135.99230215659284</v>
      </c>
      <c r="P53" s="39">
        <f t="shared" ref="P53:S53" si="38">P26+P30+P33-P34-P51</f>
        <v>142.97239965311852</v>
      </c>
      <c r="Q53" s="39">
        <f>Q26+Q30+Q33-Q34-Q51</f>
        <v>138.43239965311852</v>
      </c>
      <c r="R53" s="39">
        <f t="shared" si="38"/>
        <v>137.38239965311851</v>
      </c>
      <c r="S53" s="39">
        <f t="shared" si="38"/>
        <v>131.28239965311855</v>
      </c>
      <c r="T53" s="39">
        <f>T26+T30+T33-T34-T51</f>
        <v>128.38239965311851</v>
      </c>
      <c r="U53" s="39">
        <f>U26+U30+U33-U34-U51</f>
        <v>124.38239965311853</v>
      </c>
      <c r="V53" s="39">
        <f t="shared" ref="V53:X53" si="39">V26+V30+V33-V34-V51</f>
        <v>128.08239965311853</v>
      </c>
      <c r="W53" s="39">
        <f t="shared" si="39"/>
        <v>123.88239965311853</v>
      </c>
      <c r="X53" s="39">
        <f t="shared" si="39"/>
        <v>142.44239965311851</v>
      </c>
      <c r="Y53" s="39">
        <f>Y26+Y30+Y33-Y34-Y51</f>
        <v>138.31239965311852</v>
      </c>
      <c r="Z53" s="39">
        <f t="shared" ref="Z53:AD53" si="40">Z26+Z30+Z33-Z34-Z51</f>
        <v>141.91099965311852</v>
      </c>
      <c r="AA53" s="39">
        <f>AA26+AA30+AA33-AA34-AA51</f>
        <v>137.67769965311851</v>
      </c>
      <c r="AB53" s="39">
        <f t="shared" si="40"/>
        <v>138.44959965311853</v>
      </c>
      <c r="AC53" s="39">
        <f t="shared" si="40"/>
        <v>133.39969965311855</v>
      </c>
      <c r="AD53" s="39">
        <f t="shared" si="40"/>
        <v>145.23679965311851</v>
      </c>
      <c r="AE53" s="39">
        <f>AE26+AE30+AE33-AE34-AE51</f>
        <v>142.07379965311853</v>
      </c>
      <c r="AF53" s="39">
        <f t="shared" ref="AF53:AG53" si="41">AF26+AF30+AF33-AF34-AF51</f>
        <v>142.12539965311854</v>
      </c>
      <c r="AG53" s="39">
        <f t="shared" si="41"/>
        <v>138.35889965311853</v>
      </c>
    </row>
    <row r="54" spans="1:33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</row>
    <row r="56" spans="1:3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  <c r="Z56" s="99" t="s">
        <v>16</v>
      </c>
      <c r="AA56" s="99" t="s">
        <v>16</v>
      </c>
      <c r="AB56" s="99" t="s">
        <v>16</v>
      </c>
      <c r="AC56" s="99" t="s">
        <v>16</v>
      </c>
      <c r="AD56" s="99" t="s">
        <v>16</v>
      </c>
      <c r="AE56" s="99" t="s">
        <v>16</v>
      </c>
      <c r="AF56" s="99" t="s">
        <v>16</v>
      </c>
      <c r="AG56" s="99" t="s">
        <v>16</v>
      </c>
    </row>
    <row r="57" spans="1:3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</row>
    <row r="58" spans="1:3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</row>
    <row r="59" spans="1:3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</row>
    <row r="60" spans="1:3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</row>
    <row r="61" spans="1:3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00" t="s">
        <v>16</v>
      </c>
      <c r="Y61" s="100" t="s">
        <v>16</v>
      </c>
      <c r="Z61" s="100" t="s">
        <v>16</v>
      </c>
      <c r="AA61" s="100" t="s">
        <v>16</v>
      </c>
      <c r="AB61" s="100" t="s">
        <v>16</v>
      </c>
      <c r="AC61" s="100" t="s">
        <v>16</v>
      </c>
      <c r="AD61" s="100" t="s">
        <v>16</v>
      </c>
      <c r="AE61" s="100" t="s">
        <v>16</v>
      </c>
      <c r="AF61" s="100" t="s">
        <v>16</v>
      </c>
      <c r="AG61" s="100" t="s">
        <v>16</v>
      </c>
    </row>
    <row r="62" spans="1:33" ht="30">
      <c r="A62" s="26" t="s">
        <v>111</v>
      </c>
      <c r="B62" s="39">
        <f t="shared" ref="B62:K62" si="42">B53-B57+B58-B59+B60</f>
        <v>141.28239965311852</v>
      </c>
      <c r="C62" s="39">
        <f t="shared" si="42"/>
        <v>136.38239965311851</v>
      </c>
      <c r="D62" s="39">
        <f t="shared" si="42"/>
        <v>136.98239965311853</v>
      </c>
      <c r="E62" s="39">
        <f t="shared" si="42"/>
        <v>130.88239965311851</v>
      </c>
      <c r="F62" s="39">
        <f t="shared" si="42"/>
        <v>134.51239965311851</v>
      </c>
      <c r="G62" s="39">
        <f t="shared" si="42"/>
        <v>129.16239965311848</v>
      </c>
      <c r="H62" s="76">
        <f t="shared" si="42"/>
        <v>142.89239965311853</v>
      </c>
      <c r="I62" s="76">
        <f>I53-I57+I58-I59+I60</f>
        <v>138.79239965311854</v>
      </c>
      <c r="J62" s="76">
        <f t="shared" si="42"/>
        <v>137.22239965311852</v>
      </c>
      <c r="K62" s="76">
        <f t="shared" si="42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43">N53-N57+N58-N59+N60</f>
        <v>134.11230215659285</v>
      </c>
      <c r="O62" s="39">
        <f>O53-O57+O58-O59+O60</f>
        <v>130.81230215659284</v>
      </c>
      <c r="P62" s="39">
        <f t="shared" ref="P62:S62" si="44">P53-P57+P58-P59+P60</f>
        <v>142.97239965311852</v>
      </c>
      <c r="Q62" s="39">
        <f>Q53-Q57+Q58-Q59+Q60</f>
        <v>138.43239965311852</v>
      </c>
      <c r="R62" s="39">
        <f t="shared" si="44"/>
        <v>137.38239965311851</v>
      </c>
      <c r="S62" s="39">
        <f t="shared" si="44"/>
        <v>131.28239965311855</v>
      </c>
      <c r="T62" s="39">
        <f>T53-T57+T58-T59+T60</f>
        <v>128.38239965311851</v>
      </c>
      <c r="U62" s="39">
        <f>U53-U57+U58-U59+U60</f>
        <v>124.38239965311853</v>
      </c>
      <c r="V62" s="39">
        <f t="shared" ref="V62:X62" si="45">V53-V57+V58-V59+V60</f>
        <v>128.08239965311853</v>
      </c>
      <c r="W62" s="39">
        <f t="shared" si="45"/>
        <v>123.88239965311853</v>
      </c>
      <c r="X62" s="39">
        <f t="shared" si="45"/>
        <v>142.44239965311851</v>
      </c>
      <c r="Y62" s="39">
        <f>Y53-Y57+Y58-Y59+Y60</f>
        <v>138.31239965311852</v>
      </c>
      <c r="Z62" s="39">
        <f t="shared" ref="Z62:AD62" si="46">Z53-Z57+Z58-Z59+Z60</f>
        <v>141.91099965311852</v>
      </c>
      <c r="AA62" s="39">
        <f>AA53-AA57+AA58-AA59+AA60</f>
        <v>137.67769965311851</v>
      </c>
      <c r="AB62" s="39">
        <f t="shared" si="46"/>
        <v>138.44959965311853</v>
      </c>
      <c r="AC62" s="39">
        <f t="shared" si="46"/>
        <v>133.39969965311855</v>
      </c>
      <c r="AD62" s="39">
        <f t="shared" si="46"/>
        <v>145.23679965311851</v>
      </c>
      <c r="AE62" s="39">
        <f>AE53-AE57+AE58-AE59+AE60</f>
        <v>142.07379965311853</v>
      </c>
      <c r="AF62" s="39">
        <f t="shared" ref="AF62:AG62" si="47">AF53-AF57+AF58-AF59+AF60</f>
        <v>142.12539965311854</v>
      </c>
      <c r="AG62" s="39">
        <f t="shared" si="47"/>
        <v>138.35889965311853</v>
      </c>
    </row>
    <row r="63" spans="1:33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</row>
    <row r="64" spans="1:3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00" t="s">
        <v>16</v>
      </c>
      <c r="Y64" s="100" t="s">
        <v>16</v>
      </c>
      <c r="Z64" s="100" t="s">
        <v>16</v>
      </c>
      <c r="AA64" s="100" t="s">
        <v>16</v>
      </c>
      <c r="AB64" s="100" t="s">
        <v>16</v>
      </c>
      <c r="AC64" s="100" t="s">
        <v>16</v>
      </c>
      <c r="AD64" s="100" t="s">
        <v>16</v>
      </c>
      <c r="AE64" s="100" t="s">
        <v>16</v>
      </c>
      <c r="AF64" s="100" t="s">
        <v>16</v>
      </c>
      <c r="AG64" s="100" t="s">
        <v>16</v>
      </c>
    </row>
    <row r="65" spans="1:33" ht="15">
      <c r="A65" s="26" t="s">
        <v>98</v>
      </c>
      <c r="B65" s="39">
        <f t="shared" ref="B65:K65" si="48">B17-B23-B51+B21+B33</f>
        <v>108.20000000000003</v>
      </c>
      <c r="C65" s="39">
        <f t="shared" si="48"/>
        <v>103.30000000000003</v>
      </c>
      <c r="D65" s="39">
        <f t="shared" si="48"/>
        <v>103.90000000000003</v>
      </c>
      <c r="E65" s="39">
        <f t="shared" si="48"/>
        <v>97.800000000000026</v>
      </c>
      <c r="F65" s="39">
        <f t="shared" si="48"/>
        <v>106.9</v>
      </c>
      <c r="G65" s="39">
        <f t="shared" si="48"/>
        <v>101.55</v>
      </c>
      <c r="H65" s="76">
        <f t="shared" si="48"/>
        <v>109.81000000000003</v>
      </c>
      <c r="I65" s="76">
        <f>I17-I23-I51+I21+I33</f>
        <v>105.71000000000004</v>
      </c>
      <c r="J65" s="76">
        <f t="shared" si="48"/>
        <v>104.14000000000003</v>
      </c>
      <c r="K65" s="76">
        <f t="shared" si="48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49">N17-N23-N51+N21+N33</f>
        <v>106.20990250347435</v>
      </c>
      <c r="O65" s="39">
        <f>O17-O23-O51+O21+O33</f>
        <v>102.90990250347436</v>
      </c>
      <c r="P65" s="39">
        <f t="shared" ref="P65:X65" si="50">P17-P23-P51+P21+P33</f>
        <v>109.89000000000003</v>
      </c>
      <c r="Q65" s="39">
        <f>Q17-Q23-Q51+Q21+Q33</f>
        <v>105.35000000000002</v>
      </c>
      <c r="R65" s="39">
        <f t="shared" si="50"/>
        <v>104.30000000000004</v>
      </c>
      <c r="S65" s="39">
        <f t="shared" si="50"/>
        <v>98.200000000000045</v>
      </c>
      <c r="T65" s="27">
        <f t="shared" si="50"/>
        <v>110.30000000000004</v>
      </c>
      <c r="U65" s="27">
        <f>U17-U23-U51+U21+U33</f>
        <v>106.30000000000004</v>
      </c>
      <c r="V65" s="27">
        <f t="shared" si="50"/>
        <v>110.00000000000003</v>
      </c>
      <c r="W65" s="27">
        <f t="shared" si="50"/>
        <v>105.80000000000004</v>
      </c>
      <c r="X65" s="39">
        <f t="shared" si="50"/>
        <v>109.36000000000003</v>
      </c>
      <c r="Y65" s="39">
        <f>Y17-Y23-Y51+Y21+Y33</f>
        <v>105.23000000000003</v>
      </c>
      <c r="Z65" s="39">
        <f t="shared" ref="Z65:AD65" si="51">Z17-Z23-Z51+Z21+Z33</f>
        <v>108.82860000000002</v>
      </c>
      <c r="AA65" s="39">
        <f>AA17-AA23-AA51+AA21+AA33</f>
        <v>104.59530000000002</v>
      </c>
      <c r="AB65" s="39">
        <f t="shared" si="51"/>
        <v>105.36720000000003</v>
      </c>
      <c r="AC65" s="39">
        <f t="shared" si="51"/>
        <v>100.31730000000005</v>
      </c>
      <c r="AD65" s="39">
        <f t="shared" si="51"/>
        <v>112.15440000000002</v>
      </c>
      <c r="AE65" s="39">
        <f>AE17-AE23-AE51+AE21+AE33</f>
        <v>108.99140000000003</v>
      </c>
      <c r="AF65" s="39">
        <f t="shared" ref="AF65:AG65" si="52">AF17-AF23-AF51+AF21+AF33</f>
        <v>109.04300000000003</v>
      </c>
      <c r="AG65" s="39">
        <f t="shared" si="52"/>
        <v>105.27650000000003</v>
      </c>
    </row>
  </sheetData>
  <mergeCells count="10">
    <mergeCell ref="Z1:AC1"/>
    <mergeCell ref="AD1:AG1"/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"/>
  <sheetViews>
    <sheetView workbookViewId="0">
      <pane xSplit="1" ySplit="1" topLeftCell="M2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7.875" style="2" customWidth="1"/>
    <col min="15" max="15" width="17.125" style="1" customWidth="1"/>
    <col min="16" max="16" width="14.375" style="1" customWidth="1"/>
    <col min="17" max="17" width="17.375" style="1" customWidth="1"/>
    <col min="18" max="18" width="17.875" style="2" customWidth="1"/>
    <col min="19" max="19" width="17.125" style="1" customWidth="1"/>
    <col min="20" max="16384" width="9" style="1"/>
  </cols>
  <sheetData>
    <row r="1" spans="1:19" ht="14.25" customHeight="1">
      <c r="A1" s="3"/>
      <c r="B1" s="115" t="s">
        <v>101</v>
      </c>
      <c r="C1" s="115"/>
      <c r="D1" s="115" t="s">
        <v>102</v>
      </c>
      <c r="E1" s="115"/>
      <c r="F1" s="119" t="s">
        <v>119</v>
      </c>
      <c r="G1" s="119"/>
      <c r="H1" s="115" t="s">
        <v>123</v>
      </c>
      <c r="I1" s="115"/>
      <c r="J1" s="115" t="s">
        <v>126</v>
      </c>
      <c r="K1" s="115"/>
      <c r="L1" s="115" t="s">
        <v>127</v>
      </c>
      <c r="M1" s="115"/>
      <c r="N1" s="115" t="s">
        <v>128</v>
      </c>
      <c r="O1" s="115"/>
      <c r="P1" s="115" t="s">
        <v>129</v>
      </c>
      <c r="Q1" s="115"/>
      <c r="R1" s="115" t="s">
        <v>130</v>
      </c>
      <c r="S1" s="115"/>
    </row>
    <row r="2" spans="1:19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5" t="s">
        <v>112</v>
      </c>
      <c r="S2" s="6" t="s">
        <v>113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43">
        <v>0.01</v>
      </c>
      <c r="S7" s="43">
        <v>0.01</v>
      </c>
    </row>
    <row r="8" spans="1:1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</row>
    <row r="14" spans="1:19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</row>
    <row r="15" spans="1:19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</row>
    <row r="16" spans="1:19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</row>
    <row r="17" spans="1:19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 t="shared" ref="P17:Q17" si="2">P16</f>
        <v>23</v>
      </c>
      <c r="Q17" s="8">
        <f t="shared" si="2"/>
        <v>23</v>
      </c>
      <c r="R17" s="8">
        <f>R16</f>
        <v>23</v>
      </c>
      <c r="S17" s="8">
        <f>S16</f>
        <v>23</v>
      </c>
    </row>
    <row r="18" spans="1:19" ht="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 t="shared" ref="P18:Q18" si="5">P19+10*LOG10(P12/P14)-P20</f>
        <v>11.020599913279625</v>
      </c>
      <c r="Q18" s="8">
        <f t="shared" si="5"/>
        <v>11.020599913279625</v>
      </c>
      <c r="R18" s="8">
        <f>R19+10*LOG10(R12/R14)-R20</f>
        <v>11.020599913279625</v>
      </c>
      <c r="S18" s="8">
        <f>S19+10*LOG10(S12/S14)-S20</f>
        <v>11.020599913279625</v>
      </c>
    </row>
    <row r="19" spans="1:19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86">
        <v>0</v>
      </c>
      <c r="S20" s="86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8">
        <f t="shared" ref="P25:Q25" si="8">P17+P18+P21+P22-P24</f>
        <v>33.020599913279625</v>
      </c>
      <c r="Q25" s="8">
        <f t="shared" si="8"/>
        <v>33.020599913279625</v>
      </c>
      <c r="R25" s="8">
        <f>R17+R18+R21+R22-R24</f>
        <v>33.020599913279625</v>
      </c>
      <c r="S25" s="8">
        <f>S17+S18+S21+S22-S24</f>
        <v>33.020599913279625</v>
      </c>
    </row>
    <row r="26" spans="1:1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8">
        <v>128</v>
      </c>
      <c r="S28" s="8">
        <v>128</v>
      </c>
    </row>
    <row r="29" spans="1:19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</row>
    <row r="30" spans="1:19" ht="45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 t="shared" ref="P30:Q30" si="11">P31+10*LOG10(P28/P13)-P32</f>
        <v>26.061799739838872</v>
      </c>
      <c r="Q30" s="8">
        <f t="shared" si="11"/>
        <v>26.061799739838872</v>
      </c>
      <c r="R30" s="8">
        <f>R31+10*LOG10(R28/R13)-R32</f>
        <v>26.061799739838872</v>
      </c>
      <c r="S30" s="8">
        <f>S31+10*LOG10(S28/S13)-S32</f>
        <v>26.061799739838872</v>
      </c>
    </row>
    <row r="31" spans="1:19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</row>
    <row r="34" spans="1:19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</row>
    <row r="38" spans="1:1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8" t="s">
        <v>16</v>
      </c>
      <c r="S38" s="8" t="s">
        <v>16</v>
      </c>
    </row>
    <row r="39" spans="1:19" ht="30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8">
        <f t="shared" ref="P39:Q39" si="14">10*LOG10(10^((P35+P36)/10)+10^(P37/10))</f>
        <v>-169.00000000000003</v>
      </c>
      <c r="Q39" s="8">
        <f t="shared" si="14"/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</row>
    <row r="40" spans="1:1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</row>
    <row r="41" spans="1:19" ht="15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S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8">
        <f t="shared" si="16"/>
        <v>1440000</v>
      </c>
      <c r="Q41" s="8">
        <f t="shared" si="16"/>
        <v>1440000</v>
      </c>
      <c r="R41" s="8">
        <f t="shared" si="16"/>
        <v>1440000</v>
      </c>
      <c r="S41" s="8">
        <f t="shared" si="16"/>
        <v>1440000</v>
      </c>
    </row>
    <row r="42" spans="1:1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8" t="s">
        <v>16</v>
      </c>
      <c r="S42" s="8" t="s">
        <v>16</v>
      </c>
    </row>
    <row r="43" spans="1:19" ht="15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8">
        <f t="shared" ref="P43:Q43" si="19">P39+10*LOG10(P41)</f>
        <v>-107.41637507904753</v>
      </c>
      <c r="Q43" s="8">
        <f t="shared" si="19"/>
        <v>-107.41637507904753</v>
      </c>
      <c r="R43" s="8">
        <f>R39+10*LOG10(R41)</f>
        <v>-107.41637507904753</v>
      </c>
      <c r="S43" s="8">
        <f>S39+10*LOG10(S41)</f>
        <v>-107.41637507904753</v>
      </c>
    </row>
    <row r="44" spans="1:1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</row>
    <row r="45" spans="1:19" ht="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  <c r="R45" s="88">
        <v>-9.3032000000000004</v>
      </c>
      <c r="S45" s="88">
        <v>-9.3032000000000004</v>
      </c>
    </row>
    <row r="46" spans="1:1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8" t="s">
        <v>16</v>
      </c>
      <c r="S46" s="8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</row>
    <row r="50" spans="1:19" ht="30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8">
        <f t="shared" ref="P50:Q50" si="22">P43+P45+P47-P48</f>
        <v>-110.21637507904752</v>
      </c>
      <c r="Q50" s="8">
        <f t="shared" si="22"/>
        <v>-110.21637507904752</v>
      </c>
      <c r="R50" s="8">
        <f>R43+R45+R47-R48</f>
        <v>-114.71957507904753</v>
      </c>
      <c r="S50" s="8">
        <f>S43+S45+S47-S48</f>
        <v>-114.71957507904753</v>
      </c>
    </row>
    <row r="51" spans="1:19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8" t="s">
        <v>16</v>
      </c>
      <c r="S51" s="8" t="s">
        <v>16</v>
      </c>
    </row>
    <row r="52" spans="1:19" ht="30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S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39">
        <f t="shared" si="24"/>
        <v>166.29877473216601</v>
      </c>
      <c r="Q52" s="39">
        <f t="shared" si="24"/>
        <v>166.29877473216601</v>
      </c>
      <c r="R52" s="39">
        <f t="shared" si="24"/>
        <v>170.80197473216603</v>
      </c>
      <c r="S52" s="39">
        <f t="shared" si="24"/>
        <v>170.80197473216603</v>
      </c>
    </row>
    <row r="53" spans="1:1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00" t="s">
        <v>16</v>
      </c>
      <c r="S53" s="100" t="s">
        <v>16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</row>
    <row r="56" spans="1:1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</row>
    <row r="57" spans="1:1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S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39">
        <f t="shared" si="26"/>
        <v>166.29877473216601</v>
      </c>
      <c r="Q61" s="39">
        <f t="shared" si="26"/>
        <v>166.29877473216601</v>
      </c>
      <c r="R61" s="39">
        <f t="shared" si="26"/>
        <v>170.80197473216603</v>
      </c>
      <c r="S61" s="39">
        <f t="shared" si="26"/>
        <v>170.80197473216603</v>
      </c>
    </row>
    <row r="62" spans="1:1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00" t="s">
        <v>16</v>
      </c>
      <c r="S62" s="100" t="s">
        <v>16</v>
      </c>
    </row>
    <row r="63" spans="1:19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  <c r="R63" s="101"/>
      <c r="S63" s="101"/>
    </row>
    <row r="64" spans="1:19" ht="15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39">
        <f t="shared" ref="P64:Q64" si="29">P17+P22-P50+P21+P33</f>
        <v>133.21637507904751</v>
      </c>
      <c r="Q64" s="39">
        <f t="shared" si="29"/>
        <v>133.21637507904751</v>
      </c>
      <c r="R64" s="39">
        <f>R17+R22-R50+R21+R33</f>
        <v>137.71957507904753</v>
      </c>
      <c r="S64" s="39">
        <f>S17+S22-S50+S21+S33</f>
        <v>137.71957507904753</v>
      </c>
    </row>
    <row r="65" spans="1:1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00" t="s">
        <v>16</v>
      </c>
      <c r="Q65" s="100" t="s">
        <v>16</v>
      </c>
      <c r="R65" s="100" t="s">
        <v>16</v>
      </c>
      <c r="S65" s="100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pane xSplit="1" ySplit="1" topLeftCell="H44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7.875" style="2" customWidth="1"/>
    <col min="15" max="15" width="17.125" style="1" customWidth="1"/>
    <col min="16" max="16384" width="9" style="1"/>
  </cols>
  <sheetData>
    <row r="1" spans="1:15" ht="14.25" customHeight="1">
      <c r="A1" s="3"/>
      <c r="B1" s="115" t="s">
        <v>101</v>
      </c>
      <c r="C1" s="115"/>
      <c r="D1" s="115" t="s">
        <v>102</v>
      </c>
      <c r="E1" s="115"/>
      <c r="F1" s="119" t="s">
        <v>119</v>
      </c>
      <c r="G1" s="119"/>
      <c r="H1" s="115" t="s">
        <v>125</v>
      </c>
      <c r="I1" s="115"/>
      <c r="J1" s="115" t="s">
        <v>127</v>
      </c>
      <c r="K1" s="115"/>
      <c r="L1" s="115" t="s">
        <v>128</v>
      </c>
      <c r="M1" s="115"/>
      <c r="N1" s="115" t="s">
        <v>130</v>
      </c>
      <c r="O1" s="115"/>
    </row>
    <row r="2" spans="1:1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</row>
    <row r="3" spans="1:1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99" t="s">
        <v>16</v>
      </c>
      <c r="O5" s="99" t="s">
        <v>16</v>
      </c>
    </row>
    <row r="6" spans="1:15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  <c r="N6" s="99" t="s">
        <v>16</v>
      </c>
      <c r="O6" s="99" t="s">
        <v>16</v>
      </c>
    </row>
    <row r="7" spans="1:15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</row>
    <row r="8" spans="1:15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  <c r="N8" s="99" t="s">
        <v>16</v>
      </c>
      <c r="O8" s="99" t="s">
        <v>16</v>
      </c>
    </row>
    <row r="9" spans="1:1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</row>
    <row r="13" spans="1:1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  <c r="N13" s="8">
        <v>2</v>
      </c>
      <c r="O13" s="8">
        <v>2</v>
      </c>
    </row>
    <row r="14" spans="1:15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  <c r="N14" s="8">
        <v>1</v>
      </c>
      <c r="O14" s="8">
        <v>1</v>
      </c>
    </row>
    <row r="15" spans="1:15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8" t="s">
        <v>16</v>
      </c>
      <c r="O15" s="8" t="s">
        <v>16</v>
      </c>
    </row>
    <row r="16" spans="1:15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</row>
    <row r="17" spans="1:15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</row>
    <row r="18" spans="1:15" ht="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>N19+10*LOG10(N12/N14)-N20</f>
        <v>11.020599913279625</v>
      </c>
      <c r="O18" s="8">
        <f>O19+10*LOG10(O12/O14)-O20</f>
        <v>11.020599913279625</v>
      </c>
    </row>
    <row r="19" spans="1:15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</row>
    <row r="21" spans="1:1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>N17+N18+N21+N22-N24</f>
        <v>33.020599913279625</v>
      </c>
      <c r="O25" s="8">
        <f>O17+O18+O21+O22-O24</f>
        <v>33.020599913279625</v>
      </c>
    </row>
    <row r="26" spans="1:15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  <c r="N28" s="8">
        <v>128</v>
      </c>
      <c r="O28" s="8">
        <v>128</v>
      </c>
    </row>
    <row r="29" spans="1:15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  <c r="N29" s="8">
        <v>2</v>
      </c>
      <c r="O29" s="8">
        <v>2</v>
      </c>
    </row>
    <row r="30" spans="1:15" ht="45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>N31+10*LOG10(N28/N13)-N32</f>
        <v>26.061799739838872</v>
      </c>
      <c r="O30" s="8">
        <f>O31+10*LOG10(O28/O13)-O32</f>
        <v>26.061799739838872</v>
      </c>
    </row>
    <row r="31" spans="1:15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</row>
    <row r="33" spans="1:15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  <c r="N37" s="86">
        <v>-999</v>
      </c>
      <c r="O37" s="86">
        <v>-999</v>
      </c>
    </row>
    <row r="38" spans="1:15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</row>
    <row r="40" spans="1:15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</row>
    <row r="41" spans="1:15" ht="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Q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</row>
    <row r="42" spans="1:15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</row>
    <row r="44" spans="1:15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</row>
    <row r="45" spans="1:15" ht="15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  <c r="N45" s="88">
        <v>-3.1562999999999999</v>
      </c>
      <c r="O45" s="88">
        <v>-3.1562999999999999</v>
      </c>
    </row>
    <row r="46" spans="1:15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</row>
    <row r="50" spans="1:15" ht="30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  <c r="N50" s="8">
        <f>N43+N45+N47-N48</f>
        <v>-108.57267507904753</v>
      </c>
      <c r="O50" s="8">
        <f>O43+O45+O47-O48</f>
        <v>-108.57267507904753</v>
      </c>
    </row>
    <row r="51" spans="1:15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  <c r="N51" s="8" t="s">
        <v>16</v>
      </c>
      <c r="O51" s="8" t="s">
        <v>16</v>
      </c>
    </row>
    <row r="52" spans="1:15" ht="30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Q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  <c r="N52" s="39">
        <f t="shared" si="17"/>
        <v>164.65507473216604</v>
      </c>
      <c r="O52" s="39">
        <f t="shared" si="17"/>
        <v>164.65507473216604</v>
      </c>
    </row>
    <row r="53" spans="1:15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</row>
    <row r="56" spans="1:15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</row>
    <row r="57" spans="1:15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</row>
    <row r="58" spans="1:1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Q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  <c r="N61" s="39">
        <f t="shared" si="19"/>
        <v>164.65507473216604</v>
      </c>
      <c r="O61" s="39">
        <f t="shared" si="19"/>
        <v>164.65507473216604</v>
      </c>
    </row>
    <row r="62" spans="1:15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  <c r="N63" s="101"/>
      <c r="O63" s="101"/>
    </row>
    <row r="64" spans="1:15" ht="15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  <c r="N64" s="39">
        <f>N17+N22-N50+N21+N33</f>
        <v>131.57267507904754</v>
      </c>
      <c r="O64" s="39">
        <f>O17+O22-O50+O21+O33</f>
        <v>131.57267507904754</v>
      </c>
    </row>
    <row r="65" spans="1:15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5"/>
  <sheetViews>
    <sheetView workbookViewId="0">
      <pane xSplit="1" ySplit="1" topLeftCell="L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5.125" style="1" customWidth="1"/>
    <col min="15" max="15" width="15" style="1" customWidth="1"/>
    <col min="16" max="16" width="17.875" style="2" customWidth="1"/>
    <col min="17" max="17" width="17.125" style="1" customWidth="1"/>
    <col min="18" max="16384" width="9" style="1"/>
  </cols>
  <sheetData>
    <row r="1" spans="1:17" ht="14.25" customHeight="1">
      <c r="A1" s="3"/>
      <c r="B1" s="115" t="s">
        <v>101</v>
      </c>
      <c r="C1" s="115"/>
      <c r="D1" s="115" t="s">
        <v>102</v>
      </c>
      <c r="E1" s="115"/>
      <c r="F1" s="119" t="s">
        <v>119</v>
      </c>
      <c r="G1" s="119"/>
      <c r="H1" s="115" t="s">
        <v>122</v>
      </c>
      <c r="I1" s="115"/>
      <c r="J1" s="115" t="s">
        <v>126</v>
      </c>
      <c r="K1" s="115"/>
      <c r="L1" s="115" t="s">
        <v>128</v>
      </c>
      <c r="M1" s="115"/>
      <c r="N1" s="115" t="s">
        <v>129</v>
      </c>
      <c r="O1" s="115"/>
      <c r="P1" s="115" t="s">
        <v>130</v>
      </c>
      <c r="Q1" s="115"/>
    </row>
    <row r="2" spans="1:17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31" t="s">
        <v>112</v>
      </c>
      <c r="O2" s="104" t="s">
        <v>113</v>
      </c>
      <c r="P2" s="31" t="s">
        <v>112</v>
      </c>
      <c r="Q2" s="105" t="s">
        <v>113</v>
      </c>
    </row>
    <row r="3" spans="1:1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</row>
    <row r="8" spans="1:17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</row>
    <row r="10" spans="1:1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</row>
    <row r="13" spans="1:1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</row>
    <row r="14" spans="1:17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</row>
    <row r="17" spans="1:17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si="1"/>
        <v>23</v>
      </c>
      <c r="O17" s="8">
        <f t="shared" si="1"/>
        <v>23</v>
      </c>
      <c r="P17" s="8">
        <f>P16</f>
        <v>23</v>
      </c>
      <c r="Q17" s="8">
        <f>Q16</f>
        <v>23</v>
      </c>
    </row>
    <row r="18" spans="1:17" ht="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 t="shared" si="3"/>
        <v>11.020599913279625</v>
      </c>
      <c r="O18" s="8">
        <f t="shared" si="3"/>
        <v>11.020599913279625</v>
      </c>
      <c r="P18" s="8">
        <f>P19+10*LOG10(P12/P14)-P20</f>
        <v>11.020599913279625</v>
      </c>
      <c r="Q18" s="8">
        <f>Q19+10*LOG10(Q12/Q14)-Q20</f>
        <v>11.020599913279625</v>
      </c>
    </row>
    <row r="19" spans="1:17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</row>
    <row r="20" spans="1:17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86">
        <v>0</v>
      </c>
      <c r="Q20" s="86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 t="shared" si="5"/>
        <v>33.020599913279625</v>
      </c>
      <c r="O25" s="8">
        <f t="shared" si="5"/>
        <v>33.020599913279625</v>
      </c>
      <c r="P25" s="8">
        <f>P17+P18+P21+P22-P24</f>
        <v>33.020599913279625</v>
      </c>
      <c r="Q25" s="8">
        <f>Q17+Q18+Q21+Q22-Q24</f>
        <v>33.020599913279625</v>
      </c>
    </row>
    <row r="26" spans="1:17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8">
        <v>128</v>
      </c>
      <c r="O28" s="8">
        <v>128</v>
      </c>
      <c r="P28" s="8">
        <v>128</v>
      </c>
      <c r="Q28" s="8">
        <v>128</v>
      </c>
    </row>
    <row r="29" spans="1:17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</row>
    <row r="30" spans="1:17" ht="45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 t="shared" si="7"/>
        <v>26.061799739838872</v>
      </c>
      <c r="O30" s="8">
        <f t="shared" si="7"/>
        <v>26.061799739838872</v>
      </c>
      <c r="P30" s="8">
        <f>P31+10*LOG10(P28/P13)-P32</f>
        <v>26.061799739838872</v>
      </c>
      <c r="Q30" s="8">
        <f>Q31+10*LOG10(Q28/Q13)-Q32</f>
        <v>26.061799739838872</v>
      </c>
    </row>
    <row r="31" spans="1:17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</row>
    <row r="34" spans="1:17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-174.9</v>
      </c>
      <c r="O37" s="86">
        <v>-174.9</v>
      </c>
      <c r="P37" s="86">
        <v>-999</v>
      </c>
      <c r="Q37" s="86">
        <v>-999</v>
      </c>
    </row>
    <row r="38" spans="1:17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8" t="s">
        <v>16</v>
      </c>
      <c r="Q38" s="8" t="s">
        <v>16</v>
      </c>
    </row>
    <row r="39" spans="1:17" ht="30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8">
        <f t="shared" si="9"/>
        <v>-168.00651048203736</v>
      </c>
      <c r="O39" s="8">
        <f t="shared" si="9"/>
        <v>-168.00651048203736</v>
      </c>
      <c r="P39" s="8">
        <f>10*LOG10(10^((P35+P36)/10)+10^(P37/10))</f>
        <v>-169.00000000000003</v>
      </c>
      <c r="Q39" s="8">
        <f>10*LOG10(10^((Q35+Q36)/10)+10^(Q37/10))</f>
        <v>-169.00000000000003</v>
      </c>
    </row>
    <row r="40" spans="1:17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 ht="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Q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8">
        <f t="shared" si="11"/>
        <v>1440000</v>
      </c>
      <c r="Q41" s="8">
        <f t="shared" si="11"/>
        <v>1440000</v>
      </c>
    </row>
    <row r="42" spans="1:17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8" t="s">
        <v>16</v>
      </c>
      <c r="Q42" s="8" t="s">
        <v>16</v>
      </c>
    </row>
    <row r="43" spans="1:17" ht="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8">
        <f t="shared" si="13"/>
        <v>-106.42288556108485</v>
      </c>
      <c r="O43" s="8">
        <f t="shared" si="13"/>
        <v>-106.42288556108485</v>
      </c>
      <c r="P43" s="8">
        <f>P39+10*LOG10(P41)</f>
        <v>-107.41637507904753</v>
      </c>
      <c r="Q43" s="8">
        <f>Q39+10*LOG10(Q41)</f>
        <v>-107.41637507904753</v>
      </c>
    </row>
    <row r="44" spans="1:17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 ht="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88">
        <v>-0.17</v>
      </c>
      <c r="O45" s="88">
        <v>-0.17</v>
      </c>
      <c r="P45" s="88">
        <v>-0.65629999999999999</v>
      </c>
      <c r="Q45" s="88">
        <v>-0.65629999999999999</v>
      </c>
    </row>
    <row r="46" spans="1:17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8" t="s">
        <v>16</v>
      </c>
      <c r="Q46" s="8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30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8">
        <f t="shared" si="15"/>
        <v>-104.59288556108486</v>
      </c>
      <c r="O50" s="8">
        <f t="shared" si="15"/>
        <v>-104.59288556108486</v>
      </c>
      <c r="P50" s="8">
        <f>P43+P45+P47-P48</f>
        <v>-106.07267507904753</v>
      </c>
      <c r="Q50" s="8">
        <f>Q43+Q45+Q47-Q48</f>
        <v>-106.07267507904753</v>
      </c>
    </row>
    <row r="51" spans="1:17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8" t="s">
        <v>16</v>
      </c>
      <c r="Q51" s="8" t="s">
        <v>16</v>
      </c>
    </row>
    <row r="52" spans="1:17" ht="30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Q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39">
        <f t="shared" si="17"/>
        <v>160.67528521420337</v>
      </c>
      <c r="O52" s="39">
        <f t="shared" si="17"/>
        <v>160.67528521420337</v>
      </c>
      <c r="P52" s="39">
        <f t="shared" si="17"/>
        <v>162.15507473216604</v>
      </c>
      <c r="Q52" s="39">
        <f t="shared" si="17"/>
        <v>162.15507473216604</v>
      </c>
    </row>
    <row r="53" spans="1:17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8.0299999999999994</v>
      </c>
      <c r="O55" s="86">
        <v>8.0299999999999994</v>
      </c>
      <c r="P55" s="86">
        <v>0</v>
      </c>
      <c r="Q55" s="86">
        <v>0</v>
      </c>
    </row>
    <row r="56" spans="1:17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8.48</v>
      </c>
      <c r="O56" s="86">
        <v>8.48</v>
      </c>
      <c r="P56" s="86">
        <v>0</v>
      </c>
      <c r="Q56" s="86">
        <v>0</v>
      </c>
    </row>
    <row r="57" spans="1:17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</row>
    <row r="60" spans="1:1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Q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39">
        <f t="shared" si="19"/>
        <v>152.19528521420338</v>
      </c>
      <c r="O61" s="39">
        <f t="shared" si="19"/>
        <v>152.19528521420338</v>
      </c>
      <c r="P61" s="39">
        <f t="shared" si="19"/>
        <v>162.15507473216604</v>
      </c>
      <c r="Q61" s="39">
        <f t="shared" si="19"/>
        <v>162.15507473216604</v>
      </c>
    </row>
    <row r="62" spans="1:17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  <c r="P63" s="101"/>
      <c r="Q63" s="101"/>
    </row>
    <row r="64" spans="1:17" ht="15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39">
        <f t="shared" si="21"/>
        <v>127.59288556108486</v>
      </c>
      <c r="O64" s="39">
        <f t="shared" si="21"/>
        <v>127.59288556108486</v>
      </c>
      <c r="P64" s="39">
        <f>P17+P22-P50+P21+P33</f>
        <v>129.07267507904754</v>
      </c>
      <c r="Q64" s="39">
        <f>Q17+Q22-Q50+Q21+Q33</f>
        <v>129.07267507904754</v>
      </c>
    </row>
    <row r="65" spans="1:17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00" t="s">
        <v>16</v>
      </c>
      <c r="Q65" s="100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5"/>
  <sheetViews>
    <sheetView workbookViewId="0">
      <pane xSplit="1" ySplit="1" topLeftCell="Q35" activePane="bottomRight" state="frozen"/>
      <selection pane="topRight"/>
      <selection pane="bottomLeft"/>
      <selection pane="bottomRight" activeCell="AA9" sqref="AA9"/>
    </sheetView>
  </sheetViews>
  <sheetFormatPr defaultColWidth="9" defaultRowHeight="14.2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7" width="15.625" style="80" customWidth="1"/>
    <col min="8" max="9" width="17.75" style="1" customWidth="1"/>
    <col min="10" max="11" width="14.625" style="1" bestFit="1" customWidth="1"/>
    <col min="12" max="12" width="15.625" style="2" customWidth="1"/>
    <col min="13" max="13" width="17.75" style="1" customWidth="1"/>
    <col min="14" max="14" width="15.625" style="2" customWidth="1"/>
    <col min="15" max="16" width="17.75" style="1" customWidth="1"/>
    <col min="17" max="17" width="15.625" style="2" customWidth="1"/>
    <col min="18" max="20" width="17.75" style="1" customWidth="1"/>
    <col min="21" max="21" width="16.875" style="1" customWidth="1"/>
    <col min="22" max="23" width="17.625" style="1" customWidth="1"/>
    <col min="24" max="16384" width="9" style="1"/>
  </cols>
  <sheetData>
    <row r="1" spans="1:23" ht="14.25" customHeight="1">
      <c r="A1" s="3"/>
      <c r="B1" s="112" t="s">
        <v>101</v>
      </c>
      <c r="C1" s="113"/>
      <c r="D1" s="114"/>
      <c r="E1" s="112" t="s">
        <v>102</v>
      </c>
      <c r="F1" s="113"/>
      <c r="G1" s="116" t="s">
        <v>119</v>
      </c>
      <c r="H1" s="117"/>
      <c r="I1" s="118"/>
      <c r="J1" s="112" t="s">
        <v>125</v>
      </c>
      <c r="K1" s="113"/>
      <c r="L1" s="112" t="s">
        <v>126</v>
      </c>
      <c r="M1" s="113"/>
      <c r="N1" s="112" t="s">
        <v>127</v>
      </c>
      <c r="O1" s="113"/>
      <c r="P1" s="114"/>
      <c r="Q1" s="112" t="s">
        <v>128</v>
      </c>
      <c r="R1" s="113"/>
      <c r="S1" s="114"/>
      <c r="T1" s="112" t="s">
        <v>129</v>
      </c>
      <c r="U1" s="113"/>
      <c r="V1" s="112" t="s">
        <v>133</v>
      </c>
      <c r="W1" s="113"/>
    </row>
    <row r="2" spans="1:23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  <c r="V2" s="6" t="s">
        <v>114</v>
      </c>
      <c r="W2" s="6" t="s">
        <v>116</v>
      </c>
    </row>
    <row r="3" spans="1:2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</row>
    <row r="4" spans="1:2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</row>
    <row r="6" spans="1:23" ht="1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8">
        <v>5000000</v>
      </c>
      <c r="U6" s="8">
        <v>5000000</v>
      </c>
      <c r="V6" s="8">
        <v>5000000</v>
      </c>
      <c r="W6" s="8">
        <v>5000000</v>
      </c>
    </row>
    <row r="7" spans="1:2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</row>
    <row r="8" spans="1:23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43">
        <v>0.1</v>
      </c>
      <c r="U8" s="43">
        <v>0.1</v>
      </c>
      <c r="V8" s="43">
        <v>0.1</v>
      </c>
      <c r="W8" s="43">
        <v>0.1</v>
      </c>
    </row>
    <row r="9" spans="1:2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</row>
    <row r="10" spans="1:2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</row>
    <row r="11" spans="1:23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8">
        <v>4</v>
      </c>
      <c r="U12" s="8">
        <v>4</v>
      </c>
      <c r="V12" s="8">
        <v>4</v>
      </c>
      <c r="W12" s="8">
        <v>4</v>
      </c>
    </row>
    <row r="13" spans="1:2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  <c r="V13" s="8">
        <v>2</v>
      </c>
      <c r="W13" s="8">
        <v>2</v>
      </c>
    </row>
    <row r="14" spans="1:23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</row>
    <row r="15" spans="1:23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  <c r="V15" s="8" t="s">
        <v>16</v>
      </c>
      <c r="W15" s="8" t="s">
        <v>16</v>
      </c>
    </row>
    <row r="16" spans="1:23" ht="1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86">
        <v>23</v>
      </c>
      <c r="U16" s="86">
        <v>23</v>
      </c>
      <c r="V16" s="86">
        <v>23</v>
      </c>
      <c r="W16" s="86">
        <v>23</v>
      </c>
    </row>
    <row r="17" spans="1:23" ht="30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8">
        <f t="shared" si="2"/>
        <v>23</v>
      </c>
      <c r="U17" s="8">
        <f t="shared" si="2"/>
        <v>23</v>
      </c>
      <c r="V17" s="8">
        <f>V16</f>
        <v>23</v>
      </c>
      <c r="W17" s="8">
        <f>W16</f>
        <v>23</v>
      </c>
    </row>
    <row r="18" spans="1:23" ht="45">
      <c r="A18" s="16" t="s">
        <v>37</v>
      </c>
      <c r="B18" s="15">
        <f t="shared" ref="B18:F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15">
        <f t="shared" si="3"/>
        <v>11.020599913279625</v>
      </c>
      <c r="G18" s="73">
        <f t="shared" ref="G18:M18" si="4">G19+10*LOG10(G12/G14)-G20</f>
        <v>11.020599913279625</v>
      </c>
      <c r="H18" s="73">
        <f t="shared" si="4"/>
        <v>11.020599913279625</v>
      </c>
      <c r="I18" s="73">
        <f t="shared" si="4"/>
        <v>11.020599913279625</v>
      </c>
      <c r="J18" s="15">
        <f t="shared" si="4"/>
        <v>11.020599913279625</v>
      </c>
      <c r="K18" s="15">
        <f t="shared" si="4"/>
        <v>11.020599913279625</v>
      </c>
      <c r="L18" s="8">
        <f t="shared" si="4"/>
        <v>11.020599913279625</v>
      </c>
      <c r="M18" s="8">
        <f t="shared" si="4"/>
        <v>11.020599913279625</v>
      </c>
      <c r="N18" s="15">
        <f t="shared" ref="N18:U18" si="5">N19+10*LOG10(N12/N14)-N20</f>
        <v>11.020599913279625</v>
      </c>
      <c r="O18" s="15">
        <f t="shared" si="5"/>
        <v>11.020599913279625</v>
      </c>
      <c r="P18" s="15">
        <f t="shared" si="5"/>
        <v>11.020599913279625</v>
      </c>
      <c r="Q18" s="8">
        <f t="shared" si="5"/>
        <v>6.0205999132796251</v>
      </c>
      <c r="R18" s="8">
        <f t="shared" si="5"/>
        <v>6.0205999132796251</v>
      </c>
      <c r="S18" s="8">
        <f t="shared" si="5"/>
        <v>11.020599913279625</v>
      </c>
      <c r="T18" s="8">
        <f t="shared" si="5"/>
        <v>11.020599913279625</v>
      </c>
      <c r="U18" s="8">
        <f t="shared" si="5"/>
        <v>11.020599913279625</v>
      </c>
      <c r="V18" s="8">
        <f>V19+10*LOG10(V12/V14)-V20</f>
        <v>11.020599913279625</v>
      </c>
      <c r="W18" s="8">
        <f>W19+10*LOG10(W12/W14)-W20</f>
        <v>11.020599913279625</v>
      </c>
    </row>
    <row r="19" spans="1:23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8">
        <v>5</v>
      </c>
      <c r="V19" s="8">
        <v>5</v>
      </c>
      <c r="W19" s="8">
        <v>5</v>
      </c>
    </row>
    <row r="20" spans="1:23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</row>
    <row r="26" spans="1:23" ht="15">
      <c r="A26" s="7" t="s">
        <v>51</v>
      </c>
      <c r="B26" s="8">
        <f t="shared" ref="B26:F26" si="6">B17+B18+B21-B23-B24</f>
        <v>22.020599913279625</v>
      </c>
      <c r="C26" s="8">
        <f t="shared" si="6"/>
        <v>22.020599913279625</v>
      </c>
      <c r="D26" s="8">
        <f t="shared" si="6"/>
        <v>22.020599913279625</v>
      </c>
      <c r="E26" s="8">
        <f t="shared" si="6"/>
        <v>33.020599913279625</v>
      </c>
      <c r="F26" s="8">
        <f t="shared" si="6"/>
        <v>33.020599913279625</v>
      </c>
      <c r="G26" s="69">
        <f t="shared" ref="G26:M26" si="7">G17+G18+G21-G23-G24</f>
        <v>33.020599913279625</v>
      </c>
      <c r="H26" s="69">
        <f t="shared" si="7"/>
        <v>33.020599913279625</v>
      </c>
      <c r="I26" s="69">
        <f t="shared" si="7"/>
        <v>33.020599913279625</v>
      </c>
      <c r="J26" s="8">
        <f t="shared" si="7"/>
        <v>22.020599913279625</v>
      </c>
      <c r="K26" s="8">
        <f t="shared" si="7"/>
        <v>22.020599913279625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U26" si="8">N17+N18+N21-N23-N24</f>
        <v>33.020599913279625</v>
      </c>
      <c r="O26" s="8">
        <f t="shared" si="8"/>
        <v>33.020599913279625</v>
      </c>
      <c r="P26" s="8">
        <f t="shared" si="8"/>
        <v>33.020599913279625</v>
      </c>
      <c r="Q26" s="8">
        <f t="shared" si="8"/>
        <v>28.020599913279625</v>
      </c>
      <c r="R26" s="8">
        <f t="shared" si="8"/>
        <v>28.020599913279625</v>
      </c>
      <c r="S26" s="8">
        <f t="shared" si="8"/>
        <v>33.020599913279625</v>
      </c>
      <c r="T26" s="8">
        <f t="shared" si="8"/>
        <v>33.020599913279625</v>
      </c>
      <c r="U26" s="8">
        <f t="shared" si="8"/>
        <v>33.020599913279625</v>
      </c>
      <c r="V26" s="8">
        <f>V17+V18+V21-V23-V24</f>
        <v>33.020599913279625</v>
      </c>
      <c r="W26" s="8">
        <f>W17+W18+W21-W23-W24</f>
        <v>33.020599913279625</v>
      </c>
    </row>
    <row r="27" spans="1:23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8">
        <v>128</v>
      </c>
      <c r="U28" s="8">
        <v>128</v>
      </c>
      <c r="V28" s="8">
        <v>128</v>
      </c>
      <c r="W28" s="8">
        <v>128</v>
      </c>
    </row>
    <row r="29" spans="1:23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  <c r="V29" s="8">
        <v>2</v>
      </c>
      <c r="W29" s="8">
        <v>2</v>
      </c>
    </row>
    <row r="30" spans="1:23" ht="45">
      <c r="A30" s="7" t="s">
        <v>55</v>
      </c>
      <c r="B30" s="15">
        <f t="shared" ref="B30:F30" si="9">B31+10*LOG10(B28/B13)-B32</f>
        <v>26.061799739838872</v>
      </c>
      <c r="C30" s="15">
        <f t="shared" si="9"/>
        <v>26.061799739838872</v>
      </c>
      <c r="D30" s="15">
        <f t="shared" si="9"/>
        <v>26.061799739838872</v>
      </c>
      <c r="E30" s="15">
        <f t="shared" si="9"/>
        <v>20.591799739838873</v>
      </c>
      <c r="F30" s="15">
        <f t="shared" si="9"/>
        <v>20.591799739838873</v>
      </c>
      <c r="G30" s="73">
        <f t="shared" ref="G30:M30" si="10">G31+10*LOG10(G28/G13)-G32</f>
        <v>26.061799739838872</v>
      </c>
      <c r="H30" s="73">
        <f t="shared" si="10"/>
        <v>26.061799739838872</v>
      </c>
      <c r="I30" s="73">
        <f t="shared" si="10"/>
        <v>26.061799739838872</v>
      </c>
      <c r="J30" s="15">
        <f t="shared" si="10"/>
        <v>26.061799739838872</v>
      </c>
      <c r="K30" s="15">
        <f t="shared" si="10"/>
        <v>26.061799739838872</v>
      </c>
      <c r="L30" s="8">
        <f t="shared" si="10"/>
        <v>26.061799739838872</v>
      </c>
      <c r="M30" s="8">
        <f t="shared" si="10"/>
        <v>26.061799739838872</v>
      </c>
      <c r="N30" s="15">
        <f t="shared" ref="N30:U30" si="11">N31+10*LOG10(N28/N13)-N32</f>
        <v>26.061799739838872</v>
      </c>
      <c r="O30" s="15">
        <f t="shared" si="11"/>
        <v>26.061799739838872</v>
      </c>
      <c r="P30" s="15">
        <f t="shared" si="11"/>
        <v>26.061799739838872</v>
      </c>
      <c r="Q30" s="8">
        <f t="shared" si="11"/>
        <v>17.061799739838872</v>
      </c>
      <c r="R30" s="8">
        <f t="shared" si="11"/>
        <v>17.061799739838872</v>
      </c>
      <c r="S30" s="8">
        <f t="shared" si="11"/>
        <v>17.061799739838872</v>
      </c>
      <c r="T30" s="8">
        <f t="shared" si="11"/>
        <v>26.061799739838872</v>
      </c>
      <c r="U30" s="8">
        <f t="shared" si="11"/>
        <v>26.061799739838872</v>
      </c>
      <c r="V30" s="8">
        <f>V31+10*LOG10(V28/V13)-V32</f>
        <v>26.061799739838872</v>
      </c>
      <c r="W30" s="8">
        <f>W31+10*LOG10(W28/W13)-W32</f>
        <v>26.061799739838872</v>
      </c>
    </row>
    <row r="31" spans="1:23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</row>
    <row r="33" spans="1:23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</row>
    <row r="34" spans="1:23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</row>
    <row r="38" spans="1:2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86">
        <v>-174.9</v>
      </c>
      <c r="U38" s="86">
        <v>-174.9</v>
      </c>
      <c r="V38" s="86">
        <v>-999</v>
      </c>
      <c r="W38" s="86">
        <v>-999</v>
      </c>
    </row>
    <row r="39" spans="1:23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</row>
    <row r="40" spans="1:23" ht="30">
      <c r="A40" s="7" t="s">
        <v>109</v>
      </c>
      <c r="B40" s="15">
        <f t="shared" ref="B40:F40" si="12">10*LOG10(10^((B35+B36)/10)+10^(B38/10))</f>
        <v>-169.00000000000003</v>
      </c>
      <c r="C40" s="15">
        <f t="shared" si="12"/>
        <v>-169.00000000000003</v>
      </c>
      <c r="D40" s="15">
        <f t="shared" si="12"/>
        <v>-169.00000000000003</v>
      </c>
      <c r="E40" s="15">
        <f t="shared" si="12"/>
        <v>-167.00000000000003</v>
      </c>
      <c r="F40" s="15">
        <f t="shared" si="12"/>
        <v>-167.00000000000003</v>
      </c>
      <c r="G40" s="73">
        <f t="shared" ref="G40:M40" si="13">10*LOG10(10^((G35+G36)/10)+10^(G38/10))</f>
        <v>-169.00000000000003</v>
      </c>
      <c r="H40" s="73">
        <f t="shared" si="13"/>
        <v>-169.00000000000003</v>
      </c>
      <c r="I40" s="73">
        <f t="shared" si="13"/>
        <v>-169.00000000000003</v>
      </c>
      <c r="J40" s="15">
        <f t="shared" si="13"/>
        <v>-166.34726225295711</v>
      </c>
      <c r="K40" s="15">
        <f t="shared" si="13"/>
        <v>-166.34726225295711</v>
      </c>
      <c r="L40" s="8">
        <f t="shared" si="13"/>
        <v>-168.00651048203736</v>
      </c>
      <c r="M40" s="8">
        <f t="shared" si="13"/>
        <v>-168.00651048203736</v>
      </c>
      <c r="N40" s="15">
        <f t="shared" ref="N40:U40" si="14">10*LOG10(10^((N35+N36)/10)+10^(N38/10))</f>
        <v>-169.00000000000003</v>
      </c>
      <c r="O40" s="15">
        <f t="shared" si="14"/>
        <v>-169.00000000000003</v>
      </c>
      <c r="P40" s="15">
        <f t="shared" si="14"/>
        <v>-169.00000000000003</v>
      </c>
      <c r="Q40" s="8">
        <f t="shared" si="14"/>
        <v>-169.00000000000003</v>
      </c>
      <c r="R40" s="8">
        <f t="shared" si="14"/>
        <v>-169.00000000000003</v>
      </c>
      <c r="S40" s="8">
        <f t="shared" si="14"/>
        <v>-169.00000000000003</v>
      </c>
      <c r="T40" s="8">
        <f t="shared" si="14"/>
        <v>-168.00651048203736</v>
      </c>
      <c r="U40" s="8">
        <f t="shared" si="14"/>
        <v>-168.00651048203736</v>
      </c>
      <c r="V40" s="8">
        <f>10*LOG10(10^((V35+V36)/10)+10^(V38/10))</f>
        <v>-169.00000000000003</v>
      </c>
      <c r="W40" s="8">
        <f>10*LOG10(10^((W35+W36)/10)+10^(W38/10))</f>
        <v>-169.00000000000003</v>
      </c>
    </row>
    <row r="41" spans="1:2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</row>
    <row r="42" spans="1:23" ht="15">
      <c r="A42" s="21" t="s">
        <v>70</v>
      </c>
      <c r="B42" s="45">
        <f t="shared" ref="B42:F42" si="15">30*12*120*1000</f>
        <v>43200000</v>
      </c>
      <c r="C42" s="45">
        <f t="shared" si="15"/>
        <v>43200000</v>
      </c>
      <c r="D42" s="45">
        <f t="shared" si="15"/>
        <v>43200000</v>
      </c>
      <c r="E42" s="45">
        <f t="shared" si="15"/>
        <v>43200000</v>
      </c>
      <c r="F42" s="45">
        <f t="shared" si="15"/>
        <v>43200000</v>
      </c>
      <c r="G42" s="83">
        <f>66*12*120*1000</f>
        <v>95040000</v>
      </c>
      <c r="H42" s="83">
        <f t="shared" ref="H42" si="16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17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18">66*12*120*1000</f>
        <v>95040000</v>
      </c>
      <c r="S42" s="88">
        <f>32*12*120*1000</f>
        <v>46080000</v>
      </c>
      <c r="T42" s="88">
        <f>30*12*120*1000</f>
        <v>43200000</v>
      </c>
      <c r="U42" s="88">
        <f>30*12*120*1000</f>
        <v>43200000</v>
      </c>
      <c r="V42" s="88">
        <f t="shared" ref="V42" si="19">66*12*120*1000</f>
        <v>95040000</v>
      </c>
      <c r="W42" s="88">
        <f>32*12*120*1000</f>
        <v>46080000</v>
      </c>
    </row>
    <row r="43" spans="1:23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  <c r="V43" s="99" t="s">
        <v>16</v>
      </c>
      <c r="W43" s="99" t="s">
        <v>16</v>
      </c>
    </row>
    <row r="44" spans="1:23" ht="15">
      <c r="A44" s="7" t="s">
        <v>72</v>
      </c>
      <c r="B44" s="15">
        <f t="shared" ref="B44:F44" si="20">B40+10*LOG10(B42)</f>
        <v>-92.645162531850914</v>
      </c>
      <c r="C44" s="15">
        <f t="shared" si="20"/>
        <v>-92.645162531850914</v>
      </c>
      <c r="D44" s="15">
        <f t="shared" si="20"/>
        <v>-92.645162531850914</v>
      </c>
      <c r="E44" s="15">
        <f t="shared" si="20"/>
        <v>-90.645162531850914</v>
      </c>
      <c r="F44" s="15">
        <f t="shared" si="20"/>
        <v>-90.645162531850914</v>
      </c>
      <c r="G44" s="73">
        <f t="shared" ref="G44:M44" si="21">G40+10*LOG10(G42)</f>
        <v>-89.220935723628841</v>
      </c>
      <c r="H44" s="73">
        <f t="shared" si="21"/>
        <v>-89.220935723628841</v>
      </c>
      <c r="I44" s="73">
        <f t="shared" si="21"/>
        <v>-92.231235680268654</v>
      </c>
      <c r="J44" s="15">
        <f t="shared" si="21"/>
        <v>-89.992424784807994</v>
      </c>
      <c r="K44" s="15">
        <f t="shared" si="21"/>
        <v>-89.992424784807994</v>
      </c>
      <c r="L44" s="8">
        <f t="shared" si="21"/>
        <v>-91.651673013888242</v>
      </c>
      <c r="M44" s="8">
        <f t="shared" si="21"/>
        <v>-91.651673013888242</v>
      </c>
      <c r="N44" s="15">
        <f t="shared" ref="N44:U44" si="22">N40+10*LOG10(N42)</f>
        <v>-89.220935723628841</v>
      </c>
      <c r="O44" s="15">
        <f t="shared" si="22"/>
        <v>-89.220935723628841</v>
      </c>
      <c r="P44" s="15">
        <f t="shared" si="22"/>
        <v>-92.364875295848478</v>
      </c>
      <c r="Q44" s="8">
        <f t="shared" si="22"/>
        <v>-89.220935723628841</v>
      </c>
      <c r="R44" s="8">
        <f t="shared" si="22"/>
        <v>-89.220935723628841</v>
      </c>
      <c r="S44" s="8">
        <f t="shared" si="22"/>
        <v>-92.364875295848478</v>
      </c>
      <c r="T44" s="8">
        <f t="shared" si="22"/>
        <v>-91.651673013888242</v>
      </c>
      <c r="U44" s="8">
        <f t="shared" si="22"/>
        <v>-91.651673013888242</v>
      </c>
      <c r="V44" s="8">
        <f>V40+10*LOG10(V42)</f>
        <v>-89.220935723628841</v>
      </c>
      <c r="W44" s="8">
        <f>W40+10*LOG10(W42)</f>
        <v>-92.364875295848478</v>
      </c>
    </row>
    <row r="45" spans="1:2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</row>
    <row r="46" spans="1:23" ht="1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88">
        <v>2.37</v>
      </c>
      <c r="U46" s="88">
        <v>2.37</v>
      </c>
      <c r="V46" s="88">
        <v>4.4733999999999998</v>
      </c>
      <c r="W46" s="88">
        <v>7.5627000000000004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</row>
    <row r="51" spans="1:23" ht="30">
      <c r="A51" s="7" t="s">
        <v>82</v>
      </c>
      <c r="B51" s="15">
        <f t="shared" ref="B51:F51" si="23">B44+B46+B47-B49</f>
        <v>-88.245162531850909</v>
      </c>
      <c r="C51" s="15">
        <f t="shared" si="23"/>
        <v>-88.245162531850909</v>
      </c>
      <c r="D51" s="15">
        <f t="shared" si="23"/>
        <v>-88.145162531850914</v>
      </c>
      <c r="E51" s="15">
        <f t="shared" si="23"/>
        <v>-83.735162531850918</v>
      </c>
      <c r="F51" s="15">
        <f t="shared" si="23"/>
        <v>-83.735162531850918</v>
      </c>
      <c r="G51" s="73">
        <f t="shared" ref="G51:M51" si="24">G44+G46+G47-G49</f>
        <v>-85.780935723628843</v>
      </c>
      <c r="H51" s="73">
        <f t="shared" si="24"/>
        <v>-85.780935723628843</v>
      </c>
      <c r="I51" s="73">
        <f t="shared" si="24"/>
        <v>-88.741235680268659</v>
      </c>
      <c r="J51" s="15">
        <f t="shared" si="24"/>
        <v>-86.302424784807997</v>
      </c>
      <c r="K51" s="15">
        <f t="shared" si="24"/>
        <v>-86.302424784807997</v>
      </c>
      <c r="L51" s="8">
        <f t="shared" si="24"/>
        <v>-88.84167301388824</v>
      </c>
      <c r="M51" s="8">
        <f t="shared" si="24"/>
        <v>-88.84167301388824</v>
      </c>
      <c r="N51" s="15">
        <f t="shared" ref="N51:U51" si="25">N44+N46+N47-N49</f>
        <v>-91.240935723628837</v>
      </c>
      <c r="O51" s="15">
        <f t="shared" si="25"/>
        <v>-87.220935723628841</v>
      </c>
      <c r="P51" s="15">
        <f t="shared" si="25"/>
        <v>-89.834875295848477</v>
      </c>
      <c r="Q51" s="8">
        <f t="shared" si="25"/>
        <v>-96.620935723628847</v>
      </c>
      <c r="R51" s="8">
        <f t="shared" si="25"/>
        <v>-96.620935723628847</v>
      </c>
      <c r="S51" s="8">
        <f t="shared" si="25"/>
        <v>-96.564875295848481</v>
      </c>
      <c r="T51" s="8">
        <f t="shared" si="25"/>
        <v>-87.281673013888238</v>
      </c>
      <c r="U51" s="8">
        <f t="shared" si="25"/>
        <v>-87.281673013888238</v>
      </c>
      <c r="V51" s="8">
        <f>V44+V46+V47-V49</f>
        <v>-82.747535723628843</v>
      </c>
      <c r="W51" s="8">
        <f>W44+W46+W47-W49</f>
        <v>-82.802175295848471</v>
      </c>
    </row>
    <row r="52" spans="1:2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</row>
    <row r="53" spans="1:23" ht="30">
      <c r="A53" s="26" t="s">
        <v>85</v>
      </c>
      <c r="B53" s="39">
        <f t="shared" ref="B53:I53" si="26">B26+B30+B33-B34-B51</f>
        <v>133.32756218496939</v>
      </c>
      <c r="C53" s="39">
        <f t="shared" si="26"/>
        <v>133.32756218496939</v>
      </c>
      <c r="D53" s="39">
        <f t="shared" si="26"/>
        <v>133.22756218496943</v>
      </c>
      <c r="E53" s="39">
        <f t="shared" si="26"/>
        <v>134.34756218496943</v>
      </c>
      <c r="F53" s="39">
        <f t="shared" si="26"/>
        <v>134.34756218496943</v>
      </c>
      <c r="G53" s="76">
        <f t="shared" si="26"/>
        <v>141.86333537674733</v>
      </c>
      <c r="H53" s="76">
        <f t="shared" si="26"/>
        <v>141.86333537674733</v>
      </c>
      <c r="I53" s="76">
        <f t="shared" si="26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W53" si="27">L26+L30+L33-L34-L51</f>
        <v>144.92407266700673</v>
      </c>
      <c r="M53" s="39">
        <f t="shared" si="27"/>
        <v>144.92407266700673</v>
      </c>
      <c r="N53" s="39">
        <f t="shared" si="27"/>
        <v>147.32333537674734</v>
      </c>
      <c r="O53" s="39">
        <f t="shared" si="27"/>
        <v>143.30333537674733</v>
      </c>
      <c r="P53" s="39">
        <f t="shared" si="27"/>
        <v>145.91727494896696</v>
      </c>
      <c r="Q53" s="39">
        <f t="shared" si="27"/>
        <v>138.70333537674736</v>
      </c>
      <c r="R53" s="39">
        <f t="shared" si="27"/>
        <v>138.70333537674736</v>
      </c>
      <c r="S53" s="39">
        <f t="shared" si="27"/>
        <v>143.64727494896698</v>
      </c>
      <c r="T53" s="39">
        <f t="shared" si="27"/>
        <v>143.36407266700672</v>
      </c>
      <c r="U53" s="39">
        <f t="shared" si="27"/>
        <v>143.36407266700672</v>
      </c>
      <c r="V53" s="39">
        <f t="shared" si="27"/>
        <v>138.82993537674736</v>
      </c>
      <c r="W53" s="39">
        <f t="shared" si="27"/>
        <v>138.88457494896699</v>
      </c>
    </row>
    <row r="54" spans="1:23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8.0299999999999994</v>
      </c>
      <c r="U55" s="86">
        <v>8.0299999999999994</v>
      </c>
      <c r="V55" s="86">
        <v>0</v>
      </c>
      <c r="W55" s="86">
        <v>0</v>
      </c>
    </row>
    <row r="56" spans="1:2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</row>
    <row r="57" spans="1:2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5.18</v>
      </c>
      <c r="U57" s="86">
        <v>5.18</v>
      </c>
      <c r="V57" s="86">
        <v>0</v>
      </c>
      <c r="W57" s="86">
        <v>0</v>
      </c>
    </row>
    <row r="58" spans="1:2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</row>
    <row r="62" spans="1:23" ht="30">
      <c r="A62" s="26" t="s">
        <v>111</v>
      </c>
      <c r="B62" s="39">
        <f t="shared" ref="B62:I62" si="28">B53-B57+B58-B59+B60</f>
        <v>133.32756218496939</v>
      </c>
      <c r="C62" s="39">
        <f t="shared" si="28"/>
        <v>133.32756218496939</v>
      </c>
      <c r="D62" s="39">
        <f t="shared" si="28"/>
        <v>133.22756218496943</v>
      </c>
      <c r="E62" s="39">
        <f t="shared" si="28"/>
        <v>134.34756218496943</v>
      </c>
      <c r="F62" s="39">
        <f t="shared" si="28"/>
        <v>134.34756218496943</v>
      </c>
      <c r="G62" s="76">
        <f t="shared" si="28"/>
        <v>141.86333537674733</v>
      </c>
      <c r="H62" s="76">
        <f t="shared" si="28"/>
        <v>141.86333537674733</v>
      </c>
      <c r="I62" s="76">
        <f t="shared" si="28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W62" si="29">L53-L57+L58-L59+L60</f>
        <v>139.74407266700672</v>
      </c>
      <c r="M62" s="39">
        <f t="shared" si="29"/>
        <v>139.74407266700672</v>
      </c>
      <c r="N62" s="39">
        <f t="shared" si="29"/>
        <v>147.32333537674734</v>
      </c>
      <c r="O62" s="39">
        <f t="shared" si="29"/>
        <v>143.30333537674733</v>
      </c>
      <c r="P62" s="39">
        <f t="shared" si="29"/>
        <v>145.91727494896696</v>
      </c>
      <c r="Q62" s="39">
        <f t="shared" si="29"/>
        <v>138.70333537674736</v>
      </c>
      <c r="R62" s="39">
        <f t="shared" si="29"/>
        <v>138.70333537674736</v>
      </c>
      <c r="S62" s="39">
        <f t="shared" si="29"/>
        <v>143.64727494896698</v>
      </c>
      <c r="T62" s="39">
        <f t="shared" si="29"/>
        <v>138.18407266700672</v>
      </c>
      <c r="U62" s="39">
        <f t="shared" si="29"/>
        <v>138.18407266700672</v>
      </c>
      <c r="V62" s="39">
        <f t="shared" si="29"/>
        <v>138.82993537674736</v>
      </c>
      <c r="W62" s="39">
        <f t="shared" si="29"/>
        <v>138.88457494896699</v>
      </c>
    </row>
    <row r="63" spans="1:23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  <c r="V63" s="102"/>
      <c r="W63" s="102"/>
    </row>
    <row r="64" spans="1:2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00" t="s">
        <v>16</v>
      </c>
      <c r="U64" s="100" t="s">
        <v>16</v>
      </c>
      <c r="V64" s="100" t="s">
        <v>16</v>
      </c>
      <c r="W64" s="100" t="s">
        <v>16</v>
      </c>
    </row>
    <row r="65" spans="1:23" ht="15">
      <c r="A65" s="26" t="s">
        <v>98</v>
      </c>
      <c r="B65" s="39">
        <f t="shared" ref="B65:I65" si="30">B17-B23-B51+B21+B33</f>
        <v>100.24516253185091</v>
      </c>
      <c r="C65" s="39">
        <f t="shared" si="30"/>
        <v>100.24516253185091</v>
      </c>
      <c r="D65" s="39">
        <f t="shared" si="30"/>
        <v>100.14516253185091</v>
      </c>
      <c r="E65" s="39">
        <f t="shared" si="30"/>
        <v>106.73516253185092</v>
      </c>
      <c r="F65" s="39">
        <f t="shared" si="30"/>
        <v>106.73516253185092</v>
      </c>
      <c r="G65" s="76">
        <f t="shared" si="30"/>
        <v>108.78093572362884</v>
      </c>
      <c r="H65" s="76">
        <f t="shared" si="30"/>
        <v>108.78093572362884</v>
      </c>
      <c r="I65" s="76">
        <f t="shared" si="30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W65" si="31">L17-L23-L51+L21+L33</f>
        <v>111.84167301388824</v>
      </c>
      <c r="M65" s="39">
        <f t="shared" si="31"/>
        <v>111.84167301388824</v>
      </c>
      <c r="N65" s="39">
        <f t="shared" si="31"/>
        <v>114.24093572362884</v>
      </c>
      <c r="O65" s="39">
        <f t="shared" si="31"/>
        <v>110.22093572362884</v>
      </c>
      <c r="P65" s="39">
        <f t="shared" si="31"/>
        <v>112.83487529584848</v>
      </c>
      <c r="Q65" s="39">
        <f t="shared" si="31"/>
        <v>119.62093572362885</v>
      </c>
      <c r="R65" s="39">
        <f t="shared" si="31"/>
        <v>119.62093572362885</v>
      </c>
      <c r="S65" s="39">
        <f t="shared" si="31"/>
        <v>119.56487529584848</v>
      </c>
      <c r="T65" s="39">
        <f t="shared" si="31"/>
        <v>110.28167301388824</v>
      </c>
      <c r="U65" s="39">
        <f t="shared" si="31"/>
        <v>110.28167301388824</v>
      </c>
      <c r="V65" s="39">
        <f t="shared" si="31"/>
        <v>105.74753572362884</v>
      </c>
      <c r="W65" s="39">
        <f t="shared" si="31"/>
        <v>105.80217529584847</v>
      </c>
    </row>
  </sheetData>
  <mergeCells count="9">
    <mergeCell ref="V1:W1"/>
    <mergeCell ref="T1:U1"/>
    <mergeCell ref="Q1:S1"/>
    <mergeCell ref="N1:P1"/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5"/>
  <sheetViews>
    <sheetView workbookViewId="0">
      <pane xSplit="1" ySplit="1" topLeftCell="U2" activePane="bottomRight" state="frozen"/>
      <selection pane="topRight"/>
      <selection pane="bottomLeft"/>
      <selection pane="bottomRight" activeCell="Z1" sqref="Z1:AA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1" width="15.625" style="1" customWidth="1"/>
    <col min="12" max="13" width="14.75" style="1" bestFit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3" width="15.625" style="1" customWidth="1"/>
    <col min="24" max="24" width="17.875" style="1" customWidth="1"/>
    <col min="25" max="25" width="14.75" style="1" customWidth="1"/>
    <col min="26" max="26" width="15.625" style="2" customWidth="1"/>
    <col min="27" max="27" width="15.625" style="1" customWidth="1"/>
    <col min="28" max="16384" width="9" style="1"/>
  </cols>
  <sheetData>
    <row r="1" spans="1:27" ht="14.25" customHeight="1">
      <c r="A1" s="3"/>
      <c r="B1" s="115" t="s">
        <v>101</v>
      </c>
      <c r="C1" s="115"/>
      <c r="D1" s="115"/>
      <c r="E1" s="115"/>
      <c r="F1" s="112" t="s">
        <v>102</v>
      </c>
      <c r="G1" s="114"/>
      <c r="H1" s="119" t="s">
        <v>119</v>
      </c>
      <c r="I1" s="119"/>
      <c r="J1" s="119"/>
      <c r="K1" s="119"/>
      <c r="L1" s="115" t="s">
        <v>125</v>
      </c>
      <c r="M1" s="115"/>
      <c r="N1" s="115" t="s">
        <v>126</v>
      </c>
      <c r="O1" s="115"/>
      <c r="P1" s="115" t="s">
        <v>127</v>
      </c>
      <c r="Q1" s="115"/>
      <c r="R1" s="115"/>
      <c r="S1" s="115"/>
      <c r="T1" s="115" t="s">
        <v>128</v>
      </c>
      <c r="U1" s="115"/>
      <c r="V1" s="115"/>
      <c r="W1" s="115"/>
      <c r="X1" s="110" t="s">
        <v>129</v>
      </c>
      <c r="Y1" s="111"/>
      <c r="Z1" s="115" t="s">
        <v>130</v>
      </c>
      <c r="AA1" s="115"/>
    </row>
    <row r="2" spans="1:27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</row>
    <row r="3" spans="1:2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</row>
    <row r="6" spans="1:27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</row>
    <row r="7" spans="1:27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43">
        <v>0.01</v>
      </c>
      <c r="Y7" s="43">
        <v>0.01</v>
      </c>
      <c r="Z7" s="43">
        <v>0.01</v>
      </c>
      <c r="AA7" s="43">
        <v>0.01</v>
      </c>
    </row>
    <row r="8" spans="1:27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</row>
    <row r="9" spans="1:2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</row>
    <row r="10" spans="1:2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</row>
    <row r="13" spans="1:2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</row>
    <row r="14" spans="1:27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</row>
    <row r="15" spans="1:27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</row>
    <row r="16" spans="1:27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  <c r="Z16" s="8">
        <f>Z15+10*LOG10(Z4)</f>
        <v>23</v>
      </c>
      <c r="AA16" s="8">
        <f>AA15+10*LOG10(AA4)</f>
        <v>23</v>
      </c>
    </row>
    <row r="17" spans="1:27" ht="30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7">X15+10*LOG10(X41/1000000)</f>
        <v>21.396037294708371</v>
      </c>
      <c r="Y17" s="8">
        <f t="shared" si="7"/>
        <v>21.396037294708371</v>
      </c>
      <c r="Z17" s="8">
        <f>Z15+10*LOG10(Z41/1000000)</f>
        <v>21.396037294708371</v>
      </c>
      <c r="AA17" s="8">
        <f>AA15+10*LOG10(AA41/1000000)</f>
        <v>21.396037294708371</v>
      </c>
    </row>
    <row r="18" spans="1:27" ht="45">
      <c r="A18" s="16" t="s">
        <v>37</v>
      </c>
      <c r="B18" s="15">
        <f t="shared" ref="B18:G18" si="8">B19+10*LOG10(B12/B13)-B20</f>
        <v>26.061799739838872</v>
      </c>
      <c r="C18" s="15">
        <f t="shared" si="8"/>
        <v>26.061799739838872</v>
      </c>
      <c r="D18" s="15">
        <f t="shared" si="8"/>
        <v>26.061799739838872</v>
      </c>
      <c r="E18" s="15">
        <f t="shared" si="8"/>
        <v>26.061799739838872</v>
      </c>
      <c r="F18" s="15">
        <f t="shared" si="8"/>
        <v>19.891799739838874</v>
      </c>
      <c r="G18" s="15">
        <f t="shared" si="8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9">L19+10*LOG10(L12/L13)-L20</f>
        <v>22.581799739838871</v>
      </c>
      <c r="M18" s="15">
        <f t="shared" si="9"/>
        <v>22.581799739838871</v>
      </c>
      <c r="N18" s="8">
        <f t="shared" ref="N18:S18" si="10">N19+10*LOG10(N12/N13)-N20</f>
        <v>26.061799739838872</v>
      </c>
      <c r="O18" s="8">
        <f t="shared" si="10"/>
        <v>26.061799739838872</v>
      </c>
      <c r="P18" s="15">
        <f t="shared" si="10"/>
        <v>26.061799739838872</v>
      </c>
      <c r="Q18" s="15">
        <f t="shared" si="10"/>
        <v>26.061799739838872</v>
      </c>
      <c r="R18" s="15">
        <f t="shared" si="10"/>
        <v>26.061799739838872</v>
      </c>
      <c r="S18" s="15">
        <f t="shared" si="10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1">X19+10*LOG10(X12/X13)-X20</f>
        <v>26.061799739838872</v>
      </c>
      <c r="Y18" s="8">
        <f t="shared" si="11"/>
        <v>26.061799739838872</v>
      </c>
      <c r="Z18" s="8">
        <f>Z19+10*LOG10(Z12/Z13)-Z20</f>
        <v>20.061799739838872</v>
      </c>
      <c r="AA18" s="8">
        <f>AA19+10*LOG10(AA12/AA13)-AA20</f>
        <v>20.061799739838872</v>
      </c>
    </row>
    <row r="19" spans="1:27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</row>
    <row r="20" spans="1:27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6</v>
      </c>
      <c r="AA20" s="86">
        <v>6</v>
      </c>
    </row>
    <row r="21" spans="1:27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</row>
    <row r="22" spans="1:27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</row>
    <row r="25" spans="1:27" ht="15">
      <c r="A25" s="7" t="s">
        <v>49</v>
      </c>
      <c r="B25" s="15">
        <f t="shared" ref="B25:G25" si="12">B17+B18+B21+B22-B24</f>
        <v>44.457837034547239</v>
      </c>
      <c r="C25" s="15">
        <f t="shared" si="12"/>
        <v>44.457837034547239</v>
      </c>
      <c r="D25" s="15">
        <f t="shared" si="12"/>
        <v>41.447537077907427</v>
      </c>
      <c r="E25" s="15">
        <f t="shared" si="12"/>
        <v>41.447537077907427</v>
      </c>
      <c r="F25" s="15">
        <f t="shared" si="12"/>
        <v>38.287837034547245</v>
      </c>
      <c r="G25" s="15">
        <f t="shared" si="12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3">L17+L18+L21+L22-L24</f>
        <v>35.977837034547242</v>
      </c>
      <c r="M25" s="15">
        <f t="shared" si="13"/>
        <v>35.977837034547242</v>
      </c>
      <c r="N25" s="8">
        <f t="shared" ref="N25:S25" si="14">N17+N18+N21+N22-N24</f>
        <v>44.457837034547239</v>
      </c>
      <c r="O25" s="8">
        <f t="shared" si="14"/>
        <v>44.457837034547239</v>
      </c>
      <c r="P25" s="15">
        <f t="shared" si="14"/>
        <v>44.457837034547239</v>
      </c>
      <c r="Q25" s="15">
        <f t="shared" si="14"/>
        <v>44.457837034547239</v>
      </c>
      <c r="R25" s="15">
        <f t="shared" si="14"/>
        <v>41.447537077907427</v>
      </c>
      <c r="S25" s="15">
        <f t="shared" si="14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5">X17+X18+X21+X22-X24</f>
        <v>44.457837034547239</v>
      </c>
      <c r="Y25" s="8">
        <f t="shared" si="15"/>
        <v>44.457837034547239</v>
      </c>
      <c r="Z25" s="8">
        <f>Z17+Z18+Z21+Z22-Z24</f>
        <v>38.457837034547239</v>
      </c>
      <c r="AA25" s="8">
        <f>AA17+AA18+AA21+AA22-AA24</f>
        <v>38.457837034547239</v>
      </c>
    </row>
    <row r="26" spans="1:27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</row>
    <row r="27" spans="1:27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</row>
    <row r="29" spans="1:27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</row>
    <row r="30" spans="1:27" ht="45">
      <c r="A30" s="7" t="s">
        <v>55</v>
      </c>
      <c r="B30" s="15">
        <f t="shared" ref="B30:G30" si="16">B31+10*LOG10(B28/B29)-B32</f>
        <v>11.020599913279625</v>
      </c>
      <c r="C30" s="15">
        <f t="shared" si="16"/>
        <v>11.020599913279625</v>
      </c>
      <c r="D30" s="15">
        <f t="shared" si="16"/>
        <v>11.020599913279625</v>
      </c>
      <c r="E30" s="15">
        <f t="shared" si="16"/>
        <v>11.020599913279625</v>
      </c>
      <c r="F30" s="15">
        <f t="shared" si="16"/>
        <v>11.020599913279625</v>
      </c>
      <c r="G30" s="15">
        <f t="shared" si="16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7">L31+10*LOG10(L28/L29)-L32</f>
        <v>11.020599913279625</v>
      </c>
      <c r="M30" s="15">
        <f t="shared" si="17"/>
        <v>11.020599913279625</v>
      </c>
      <c r="N30" s="8">
        <f t="shared" ref="N30:S30" si="18">N31+10*LOG10(N28/N29)-N32</f>
        <v>11.020599913279625</v>
      </c>
      <c r="O30" s="8">
        <f t="shared" si="18"/>
        <v>11.020599913279625</v>
      </c>
      <c r="P30" s="15">
        <f t="shared" si="18"/>
        <v>11.020599913279625</v>
      </c>
      <c r="Q30" s="15">
        <f t="shared" si="18"/>
        <v>11.020599913279625</v>
      </c>
      <c r="R30" s="15">
        <f t="shared" si="18"/>
        <v>11.020599913279625</v>
      </c>
      <c r="S30" s="15">
        <f t="shared" si="18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19">X31+10*LOG10(X28/X29)-X32</f>
        <v>11.020599913279625</v>
      </c>
      <c r="Y30" s="8">
        <f t="shared" si="19"/>
        <v>11.020599913279625</v>
      </c>
      <c r="Z30" s="8">
        <f>Z31+10*LOG10(Z28/Z29)-Z32</f>
        <v>11.020599913279625</v>
      </c>
      <c r="AA30" s="8">
        <f>AA31+10*LOG10(AA28/AA29)-AA32</f>
        <v>11.020599913279625</v>
      </c>
    </row>
    <row r="31" spans="1:27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</row>
    <row r="32" spans="1:27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</row>
    <row r="33" spans="1:27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</row>
    <row r="35" spans="1:27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</row>
    <row r="38" spans="1:27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</row>
    <row r="39" spans="1:27" ht="30">
      <c r="A39" s="7" t="s">
        <v>108</v>
      </c>
      <c r="B39" s="15">
        <f t="shared" ref="B39:G39" si="20">10*LOG10(10^((B35+B36)/10)+10^(B37/10))</f>
        <v>-167.00000000000003</v>
      </c>
      <c r="C39" s="15">
        <f t="shared" si="20"/>
        <v>-167.00000000000003</v>
      </c>
      <c r="D39" s="15">
        <f t="shared" si="20"/>
        <v>-167.00000000000003</v>
      </c>
      <c r="E39" s="15">
        <f t="shared" si="20"/>
        <v>-167.00000000000003</v>
      </c>
      <c r="F39" s="15">
        <f t="shared" si="20"/>
        <v>-164</v>
      </c>
      <c r="G39" s="15">
        <f t="shared" si="20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1">10*LOG10(10^((L35+L36)/10)+10^(L37/10))</f>
        <v>-163.58607314841774</v>
      </c>
      <c r="M39" s="15">
        <f t="shared" si="21"/>
        <v>-163.58607314841774</v>
      </c>
      <c r="N39" s="8">
        <f t="shared" ref="N39:S39" si="22">10*LOG10(10^((N35+N36)/10)+10^(N37/10))</f>
        <v>-166.20990250347435</v>
      </c>
      <c r="O39" s="8">
        <f t="shared" si="22"/>
        <v>-166.20990250347435</v>
      </c>
      <c r="P39" s="15">
        <f t="shared" si="22"/>
        <v>-167.00000000000003</v>
      </c>
      <c r="Q39" s="15">
        <f t="shared" si="22"/>
        <v>-167.00000000000003</v>
      </c>
      <c r="R39" s="15">
        <f t="shared" si="22"/>
        <v>-167.00000000000003</v>
      </c>
      <c r="S39" s="15">
        <f t="shared" si="22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3">10*LOG10(10^((X35+X36)/10)+10^(X37/10))</f>
        <v>-166.20990250347435</v>
      </c>
      <c r="Y39" s="8">
        <f t="shared" si="23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</row>
    <row r="40" spans="1:27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</row>
    <row r="41" spans="1:27" ht="15">
      <c r="A41" s="24" t="s">
        <v>68</v>
      </c>
      <c r="B41" s="15">
        <f t="shared" ref="B41:C41" si="24">48*12*120*1000</f>
        <v>69120000</v>
      </c>
      <c r="C41" s="15">
        <f t="shared" si="24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25">48*12*120*1000</f>
        <v>69120000</v>
      </c>
      <c r="I41" s="73">
        <f t="shared" si="25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26">48*12*120*1000</f>
        <v>69120000</v>
      </c>
      <c r="O41" s="8">
        <f t="shared" si="26"/>
        <v>69120000</v>
      </c>
      <c r="P41" s="15">
        <f t="shared" si="26"/>
        <v>69120000</v>
      </c>
      <c r="Q41" s="15">
        <f t="shared" si="26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7">48*12*120*1000</f>
        <v>69120000</v>
      </c>
      <c r="U41" s="8">
        <f t="shared" si="27"/>
        <v>69120000</v>
      </c>
      <c r="V41" s="8">
        <f>24*12*120*1000</f>
        <v>34560000</v>
      </c>
      <c r="W41" s="8">
        <f>24*12*120*1000</f>
        <v>34560000</v>
      </c>
      <c r="X41" s="8">
        <f t="shared" ref="X41:AA41" si="28">48*12*120*1000</f>
        <v>69120000</v>
      </c>
      <c r="Y41" s="8">
        <f t="shared" si="28"/>
        <v>69120000</v>
      </c>
      <c r="Z41" s="8">
        <f t="shared" si="28"/>
        <v>69120000</v>
      </c>
      <c r="AA41" s="8">
        <f t="shared" si="28"/>
        <v>69120000</v>
      </c>
    </row>
    <row r="42" spans="1:27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</row>
    <row r="43" spans="1:27" ht="15">
      <c r="A43" s="7" t="s">
        <v>71</v>
      </c>
      <c r="B43" s="15">
        <f t="shared" ref="B43:G43" si="29">B39+10*LOG10(B41)</f>
        <v>-88.603962705291664</v>
      </c>
      <c r="C43" s="15">
        <f t="shared" si="29"/>
        <v>-88.603962705291664</v>
      </c>
      <c r="D43" s="15">
        <f t="shared" si="29"/>
        <v>-91.614262661931477</v>
      </c>
      <c r="E43" s="15">
        <f t="shared" si="29"/>
        <v>-91.614262661931477</v>
      </c>
      <c r="F43" s="15">
        <f t="shared" si="29"/>
        <v>-85.603962705291636</v>
      </c>
      <c r="G43" s="15">
        <f t="shared" si="29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0">L39+10*LOG10(L41)</f>
        <v>-85.190035853709375</v>
      </c>
      <c r="M43" s="15">
        <f t="shared" si="30"/>
        <v>-85.190035853709375</v>
      </c>
      <c r="N43" s="8">
        <f t="shared" ref="N43:S43" si="31">N39+10*LOG10(N41)</f>
        <v>-87.813865208765989</v>
      </c>
      <c r="O43" s="8">
        <f t="shared" si="31"/>
        <v>-87.813865208765989</v>
      </c>
      <c r="P43" s="15">
        <f t="shared" si="31"/>
        <v>-88.603962705291664</v>
      </c>
      <c r="Q43" s="15">
        <f t="shared" si="31"/>
        <v>-88.603962705291664</v>
      </c>
      <c r="R43" s="15">
        <f t="shared" si="31"/>
        <v>-91.614262661931477</v>
      </c>
      <c r="S43" s="15">
        <f t="shared" si="31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2">X39+10*LOG10(X41)</f>
        <v>-87.813865208765989</v>
      </c>
      <c r="Y43" s="8">
        <f t="shared" si="32"/>
        <v>-87.813865208765989</v>
      </c>
      <c r="Z43" s="8">
        <f>Z39+10*LOG10(Z41)</f>
        <v>-88.603962705291664</v>
      </c>
      <c r="AA43" s="8">
        <f>AA39+10*LOG10(AA41)</f>
        <v>-88.603962705291664</v>
      </c>
    </row>
    <row r="44" spans="1:27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</row>
    <row r="45" spans="1:27" ht="1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</row>
    <row r="46" spans="1:27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</row>
    <row r="47" spans="1:27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</row>
    <row r="50" spans="1:27" ht="30">
      <c r="A50" s="7" t="s">
        <v>80</v>
      </c>
      <c r="B50" s="15">
        <f t="shared" ref="B50:G50" si="33">B43+B45+B47-B48</f>
        <v>-92.00396270529167</v>
      </c>
      <c r="C50" s="15">
        <f t="shared" si="33"/>
        <v>-87.803962705291667</v>
      </c>
      <c r="D50" s="15">
        <f t="shared" si="33"/>
        <v>-94.514262661931483</v>
      </c>
      <c r="E50" s="15">
        <f t="shared" si="33"/>
        <v>-90.114262661931477</v>
      </c>
      <c r="F50" s="15">
        <f t="shared" si="33"/>
        <v>-91.523962705291638</v>
      </c>
      <c r="G50" s="15">
        <f t="shared" si="33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34">L43+L45+L47-L48</f>
        <v>-89.500035853709377</v>
      </c>
      <c r="M50" s="15">
        <f t="shared" si="34"/>
        <v>-85.760035853709368</v>
      </c>
      <c r="N50" s="8">
        <f t="shared" ref="N50:S50" si="35">N43+N45+N47-N48</f>
        <v>-88.063865208765989</v>
      </c>
      <c r="O50" s="8">
        <f t="shared" si="35"/>
        <v>-85.063865208765989</v>
      </c>
      <c r="P50" s="15">
        <f t="shared" si="35"/>
        <v>-94.073962705291663</v>
      </c>
      <c r="Q50" s="15">
        <f t="shared" si="35"/>
        <v>-90.393962705291671</v>
      </c>
      <c r="R50" s="15">
        <f t="shared" si="35"/>
        <v>-93.374262661931482</v>
      </c>
      <c r="S50" s="15">
        <f t="shared" si="35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36">X43+X45+X47-X48</f>
        <v>-92.813865208765989</v>
      </c>
      <c r="Y50" s="8">
        <f t="shared" si="36"/>
        <v>-89.013865208765992</v>
      </c>
      <c r="Z50" s="8">
        <f>Z43+Z45+Z47-Z48</f>
        <v>-94.917462705291669</v>
      </c>
      <c r="AA50" s="8">
        <f>AA43+AA45+AA47-AA48</f>
        <v>-91.603962705291664</v>
      </c>
    </row>
    <row r="51" spans="1:27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</row>
    <row r="52" spans="1:27" ht="30">
      <c r="A52" s="26" t="s">
        <v>83</v>
      </c>
      <c r="B52" s="39">
        <f t="shared" ref="B52:K52" si="37">B25+B30+B33-B34-B50</f>
        <v>146.48239965311853</v>
      </c>
      <c r="C52" s="39">
        <f t="shared" si="37"/>
        <v>142.28239965311855</v>
      </c>
      <c r="D52" s="39">
        <f t="shared" si="37"/>
        <v>145.98239965311853</v>
      </c>
      <c r="E52" s="39">
        <f t="shared" si="37"/>
        <v>141.58239965311853</v>
      </c>
      <c r="F52" s="39">
        <f t="shared" si="37"/>
        <v>139.8323996531185</v>
      </c>
      <c r="G52" s="39">
        <f t="shared" si="37"/>
        <v>136.4523996531185</v>
      </c>
      <c r="H52" s="76">
        <f t="shared" si="37"/>
        <v>145.90239965311855</v>
      </c>
      <c r="I52" s="76">
        <f>I25+I30+I33-I34-I50</f>
        <v>140.97239965311854</v>
      </c>
      <c r="J52" s="76">
        <f t="shared" si="37"/>
        <v>145.74239965311853</v>
      </c>
      <c r="K52" s="76">
        <f t="shared" si="37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38">N25+N30+N33-N34-N50</f>
        <v>142.54230215659285</v>
      </c>
      <c r="O52" s="39">
        <f>O25+O30+O33-O34-O50</f>
        <v>139.54230215659285</v>
      </c>
      <c r="P52" s="39">
        <f t="shared" ref="P52:X52" si="39">P25+P30+P33-P34-P50</f>
        <v>148.55239965311853</v>
      </c>
      <c r="Q52" s="39">
        <f>Q25+Q30+Q33-Q34-Q50</f>
        <v>144.87239965311852</v>
      </c>
      <c r="R52" s="39">
        <f t="shared" si="39"/>
        <v>144.84239965311855</v>
      </c>
      <c r="S52" s="39">
        <f t="shared" si="39"/>
        <v>140.25239965311852</v>
      </c>
      <c r="T52" s="39">
        <f t="shared" si="39"/>
        <v>132.08239965311853</v>
      </c>
      <c r="U52" s="39">
        <f>U25+U30+U33-U34-U50</f>
        <v>128.18239965311852</v>
      </c>
      <c r="V52" s="39">
        <f t="shared" si="39"/>
        <v>130.18239965311852</v>
      </c>
      <c r="W52" s="39">
        <f t="shared" si="39"/>
        <v>126.08239965311853</v>
      </c>
      <c r="X52" s="39">
        <f t="shared" si="39"/>
        <v>147.29230215659285</v>
      </c>
      <c r="Y52" s="39">
        <f>Y25+Y30+Y33-Y34-Y50</f>
        <v>143.49230215659287</v>
      </c>
      <c r="Z52" s="39">
        <f t="shared" ref="Z52" si="40">Z25+Z30+Z33-Z34-Z50</f>
        <v>143.39589965311853</v>
      </c>
      <c r="AA52" s="39">
        <f>AA25+AA30+AA33-AA34-AA50</f>
        <v>140.08239965311853</v>
      </c>
    </row>
    <row r="53" spans="1:27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</row>
    <row r="54" spans="1:27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</row>
    <row r="56" spans="1:27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</row>
    <row r="57" spans="1:27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</row>
    <row r="58" spans="1:2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</row>
    <row r="60" spans="1:2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26" t="s">
        <v>110</v>
      </c>
      <c r="B61" s="39">
        <f t="shared" ref="B61:K61" si="41">B52-B56+B58-B59+B60</f>
        <v>146.48239965311853</v>
      </c>
      <c r="C61" s="39">
        <f t="shared" si="41"/>
        <v>142.28239965311855</v>
      </c>
      <c r="D61" s="39">
        <f t="shared" si="41"/>
        <v>145.98239965311853</v>
      </c>
      <c r="E61" s="39">
        <f t="shared" si="41"/>
        <v>141.58239965311853</v>
      </c>
      <c r="F61" s="39">
        <f t="shared" si="41"/>
        <v>139.8323996531185</v>
      </c>
      <c r="G61" s="39">
        <f t="shared" si="41"/>
        <v>136.4523996531185</v>
      </c>
      <c r="H61" s="76">
        <f t="shared" si="41"/>
        <v>145.90239965311855</v>
      </c>
      <c r="I61" s="76">
        <f>I52-I56+I58-I59+I60</f>
        <v>140.97239965311854</v>
      </c>
      <c r="J61" s="76">
        <f t="shared" si="41"/>
        <v>145.74239965311853</v>
      </c>
      <c r="K61" s="76">
        <f t="shared" si="41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42">N52-N56+N58-N59+N60</f>
        <v>134.06230215659286</v>
      </c>
      <c r="O61" s="39">
        <f>O52-O56+O58-O59+O60</f>
        <v>131.06230215659286</v>
      </c>
      <c r="P61" s="39">
        <f t="shared" ref="P61:X61" si="43">P52-P56+P58-P59+P60</f>
        <v>148.55239965311853</v>
      </c>
      <c r="Q61" s="39">
        <f>Q52-Q56+Q58-Q59+Q60</f>
        <v>144.87239965311852</v>
      </c>
      <c r="R61" s="39">
        <f t="shared" si="43"/>
        <v>144.84239965311855</v>
      </c>
      <c r="S61" s="39">
        <f t="shared" si="43"/>
        <v>140.25239965311852</v>
      </c>
      <c r="T61" s="39">
        <f t="shared" si="43"/>
        <v>132.08239965311853</v>
      </c>
      <c r="U61" s="39">
        <f>U52-U56+U58-U59+U60</f>
        <v>128.18239965311852</v>
      </c>
      <c r="V61" s="39">
        <f t="shared" si="43"/>
        <v>130.18239965311852</v>
      </c>
      <c r="W61" s="39">
        <f t="shared" si="43"/>
        <v>126.08239965311853</v>
      </c>
      <c r="X61" s="39">
        <f t="shared" si="43"/>
        <v>138.81230215659286</v>
      </c>
      <c r="Y61" s="39">
        <f>Y52-Y56+Y58-Y59+Y60</f>
        <v>135.01230215659288</v>
      </c>
      <c r="Z61" s="39">
        <f t="shared" ref="Z61" si="44">Z52-Z56+Z58-Z59+Z60</f>
        <v>143.39589965311853</v>
      </c>
      <c r="AA61" s="39">
        <f>AA52-AA56+AA58-AA59+AA60</f>
        <v>140.08239965311853</v>
      </c>
    </row>
    <row r="62" spans="1:27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</row>
    <row r="63" spans="1:27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  <c r="Z63" s="101"/>
      <c r="AA63" s="101"/>
    </row>
    <row r="64" spans="1:27" ht="15">
      <c r="A64" s="26" t="s">
        <v>97</v>
      </c>
      <c r="B64" s="39">
        <f t="shared" ref="B64:G64" si="45">B17+B22-B50+B21+B33</f>
        <v>113.40000000000003</v>
      </c>
      <c r="C64" s="39">
        <f t="shared" si="45"/>
        <v>109.20000000000005</v>
      </c>
      <c r="D64" s="39">
        <f t="shared" si="45"/>
        <v>112.90000000000003</v>
      </c>
      <c r="E64" s="39">
        <f t="shared" si="45"/>
        <v>108.50000000000003</v>
      </c>
      <c r="F64" s="39">
        <f t="shared" si="45"/>
        <v>112.92000000000002</v>
      </c>
      <c r="G64" s="39">
        <f t="shared" si="4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46">L17+L22-L50+L21+L33</f>
        <v>105.89607314841774</v>
      </c>
      <c r="M64" s="27">
        <f t="shared" si="46"/>
        <v>102.15607314841773</v>
      </c>
      <c r="N64" s="39">
        <f t="shared" ref="N64:S64" si="47">N17+N22-N50+N21+N33</f>
        <v>109.45990250347435</v>
      </c>
      <c r="O64" s="39">
        <f t="shared" si="47"/>
        <v>106.45990250347435</v>
      </c>
      <c r="P64" s="39">
        <f t="shared" si="47"/>
        <v>115.47000000000003</v>
      </c>
      <c r="Q64" s="39">
        <f t="shared" si="47"/>
        <v>111.79000000000005</v>
      </c>
      <c r="R64" s="39">
        <f t="shared" si="47"/>
        <v>111.76000000000005</v>
      </c>
      <c r="S64" s="39">
        <f t="shared" si="47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39">
        <f t="shared" ref="X64:Y64" si="48">X17+X22-X50+X21+X33</f>
        <v>114.20990250347435</v>
      </c>
      <c r="Y64" s="39">
        <f t="shared" si="48"/>
        <v>110.40990250347437</v>
      </c>
      <c r="Z64" s="39">
        <f>Z17+Z22-Z50+Z21+Z33</f>
        <v>116.31350000000003</v>
      </c>
      <c r="AA64" s="39">
        <f>AA17+AA22-AA50+AA21+AA33</f>
        <v>113.00000000000003</v>
      </c>
    </row>
    <row r="65" spans="1:27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</row>
  </sheetData>
  <mergeCells count="9">
    <mergeCell ref="Z1:AA1"/>
    <mergeCell ref="X1:Y1"/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5"/>
  <sheetViews>
    <sheetView workbookViewId="0">
      <pane xSplit="1" ySplit="1" topLeftCell="J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6" width="17.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5" style="1" customWidth="1"/>
    <col min="12" max="12" width="17.625" style="2" customWidth="1"/>
    <col min="13" max="13" width="18.5" style="1" customWidth="1"/>
    <col min="14" max="14" width="17.625" style="2" customWidth="1"/>
    <col min="15" max="15" width="18.5" style="1" customWidth="1"/>
    <col min="16" max="16" width="17.625" style="2" customWidth="1"/>
    <col min="17" max="17" width="18.5" style="1" customWidth="1"/>
    <col min="18" max="16384" width="9" style="1"/>
  </cols>
  <sheetData>
    <row r="1" spans="1:17" ht="14.25" customHeight="1">
      <c r="A1" s="3"/>
      <c r="B1" s="115" t="s">
        <v>101</v>
      </c>
      <c r="C1" s="115"/>
      <c r="D1" s="115" t="s">
        <v>102</v>
      </c>
      <c r="E1" s="115"/>
      <c r="F1" s="119" t="s">
        <v>119</v>
      </c>
      <c r="G1" s="119"/>
      <c r="H1" s="115" t="s">
        <v>125</v>
      </c>
      <c r="I1" s="115"/>
      <c r="J1" s="115" t="s">
        <v>126</v>
      </c>
      <c r="K1" s="115"/>
      <c r="L1" s="115" t="s">
        <v>127</v>
      </c>
      <c r="M1" s="115"/>
      <c r="N1" s="115" t="s">
        <v>128</v>
      </c>
      <c r="O1" s="115"/>
      <c r="P1" s="115" t="s">
        <v>130</v>
      </c>
      <c r="Q1" s="115"/>
    </row>
    <row r="2" spans="1:17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  <c r="P2" s="5" t="s">
        <v>103</v>
      </c>
      <c r="Q2" s="6" t="s">
        <v>117</v>
      </c>
    </row>
    <row r="3" spans="1:1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</row>
    <row r="7" spans="1:17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</row>
    <row r="8" spans="1:17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</row>
    <row r="9" spans="1:1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</row>
    <row r="10" spans="1:1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</row>
    <row r="13" spans="1:1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</row>
    <row r="14" spans="1:17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</row>
    <row r="15" spans="1:17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</row>
    <row r="16" spans="1:17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  <c r="P16" s="8">
        <f>P15+10*LOG10(P4)</f>
        <v>23</v>
      </c>
      <c r="Q16" s="8">
        <f>Q15+10*LOG10(Q4)</f>
        <v>23</v>
      </c>
    </row>
    <row r="17" spans="1:17" ht="30">
      <c r="A17" s="7" t="s">
        <v>35</v>
      </c>
      <c r="B17" s="15">
        <f t="shared" ref="B17:G17" si="2">B15+10*LOG10(B42/1000000)</f>
        <v>10.60422483423212</v>
      </c>
      <c r="C17" s="15">
        <f t="shared" si="2"/>
        <v>10.60422483423212</v>
      </c>
      <c r="D17" s="15">
        <f t="shared" si="2"/>
        <v>9.3548374681491211</v>
      </c>
      <c r="E17" s="15">
        <f t="shared" si="2"/>
        <v>9.3548374681491211</v>
      </c>
      <c r="F17" s="73">
        <f t="shared" si="2"/>
        <v>9.3548374681491211</v>
      </c>
      <c r="G17" s="73">
        <f t="shared" si="2"/>
        <v>9.3548374681491211</v>
      </c>
      <c r="H17" s="15">
        <f t="shared" ref="H17:M17" si="3">H15+10*LOG10(H42/1000000)</f>
        <v>10.60422483423212</v>
      </c>
      <c r="I17" s="15">
        <f t="shared" si="3"/>
        <v>10.60422483423212</v>
      </c>
      <c r="J17" s="8">
        <f t="shared" si="3"/>
        <v>15.375437381428744</v>
      </c>
      <c r="K17" s="8">
        <f t="shared" si="3"/>
        <v>15.375437381428744</v>
      </c>
      <c r="L17" s="15">
        <f t="shared" si="3"/>
        <v>9.3548374681491211</v>
      </c>
      <c r="M17" s="15">
        <f t="shared" si="3"/>
        <v>9.3548374681491211</v>
      </c>
      <c r="N17" s="8">
        <f>N15+10*LOG10(N42/1000000)</f>
        <v>9.3548374681491211</v>
      </c>
      <c r="O17" s="8">
        <f>O15+10*LOG10(O42/1000000)</f>
        <v>9.3548374681491211</v>
      </c>
      <c r="P17" s="8">
        <f>P15+10*LOG10(P42/1000000)</f>
        <v>10.60422483423212</v>
      </c>
      <c r="Q17" s="8">
        <f>Q15+10*LOG10(Q42/1000000)</f>
        <v>10.60422483423212</v>
      </c>
    </row>
    <row r="18" spans="1:17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  <c r="P18" s="8">
        <f>P19+10*LOG10(P12/P13)-P20</f>
        <v>26.061799739838872</v>
      </c>
      <c r="Q18" s="8">
        <f>Q19+10*LOG10(Q12/Q13)-Q20</f>
        <v>26.061799739838872</v>
      </c>
    </row>
    <row r="19" spans="1:17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</row>
    <row r="20" spans="1:17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</row>
    <row r="21" spans="1:17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</row>
    <row r="22" spans="1:17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</row>
    <row r="25" spans="1:17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</row>
    <row r="26" spans="1:17" ht="15">
      <c r="A26" s="7" t="s">
        <v>51</v>
      </c>
      <c r="B26" s="15">
        <f t="shared" ref="B26:G26" si="6">B17+B18+B21-B23-B24</f>
        <v>33.666024574070988</v>
      </c>
      <c r="C26" s="15">
        <f t="shared" si="6"/>
        <v>33.666024574070988</v>
      </c>
      <c r="D26" s="15">
        <f t="shared" si="6"/>
        <v>26.246637207987995</v>
      </c>
      <c r="E26" s="15">
        <f t="shared" si="6"/>
        <v>26.246637207987995</v>
      </c>
      <c r="F26" s="73">
        <f t="shared" si="6"/>
        <v>32.416637207987989</v>
      </c>
      <c r="G26" s="73">
        <f t="shared" si="6"/>
        <v>32.416637207987989</v>
      </c>
      <c r="H26" s="15">
        <f t="shared" ref="H26:M26" si="7">H17+H18+H21-H23-H24</f>
        <v>25.186024574070991</v>
      </c>
      <c r="I26" s="15">
        <f t="shared" si="7"/>
        <v>25.186024574070991</v>
      </c>
      <c r="J26" s="8">
        <f t="shared" si="7"/>
        <v>38.437237121267614</v>
      </c>
      <c r="K26" s="8">
        <f t="shared" si="7"/>
        <v>38.437237121267614</v>
      </c>
      <c r="L26" s="15">
        <f t="shared" si="7"/>
        <v>32.416637207987989</v>
      </c>
      <c r="M26" s="15">
        <f t="shared" si="7"/>
        <v>32.416637207987989</v>
      </c>
      <c r="N26" s="8">
        <f>N17+N18+N21-N23-N24</f>
        <v>23.416637207987993</v>
      </c>
      <c r="O26" s="8">
        <f>O17+O18+O21-O23-O24</f>
        <v>23.416637207987993</v>
      </c>
      <c r="P26" s="8">
        <f>P17+P18+P21-P23-P24</f>
        <v>33.666024574070988</v>
      </c>
      <c r="Q26" s="8">
        <f>Q17+Q18+Q21-Q23-Q24</f>
        <v>33.666024574070988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8</v>
      </c>
      <c r="Q28" s="8">
        <v>4</v>
      </c>
    </row>
    <row r="29" spans="1:17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2</v>
      </c>
      <c r="Q29" s="8">
        <v>1</v>
      </c>
    </row>
    <row r="30" spans="1:17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  <c r="P30" s="8">
        <f>P31+10*LOG10(P28/P29)-P32</f>
        <v>11.020599913279625</v>
      </c>
      <c r="Q30" s="8">
        <f>Q31+10*LOG10(Q28/Q29)-Q32</f>
        <v>11.020599913279625</v>
      </c>
    </row>
    <row r="31" spans="1:17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</row>
    <row r="32" spans="1:17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</row>
    <row r="33" spans="1:17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</row>
    <row r="35" spans="1:17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</row>
    <row r="39" spans="1:17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</row>
    <row r="40" spans="1:17" ht="30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  <c r="P40" s="8">
        <f>10*LOG10(10^((P35+P36)/10)+10^(P38/10))</f>
        <v>-167.00000000000003</v>
      </c>
      <c r="Q40" s="8">
        <f>10*LOG10(10^((Q35+Q36)/10)+10^(Q38/10))</f>
        <v>-167.00000000000003</v>
      </c>
    </row>
    <row r="41" spans="1:17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2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3">3*12*120*1000</f>
        <v>4320000</v>
      </c>
      <c r="N42" s="88">
        <f>3*12*120*1000</f>
        <v>4320000</v>
      </c>
      <c r="O42" s="88">
        <f t="shared" ref="O42" si="14">3*12*120*1000</f>
        <v>4320000</v>
      </c>
      <c r="P42" s="88">
        <f>4*12*120*1000</f>
        <v>5760000</v>
      </c>
      <c r="Q42" s="88">
        <f>4*12*120*1000</f>
        <v>5760000</v>
      </c>
    </row>
    <row r="43" spans="1:17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</row>
    <row r="44" spans="1:17" ht="15">
      <c r="A44" s="7" t="s">
        <v>72</v>
      </c>
      <c r="B44" s="15">
        <f t="shared" ref="B44:G44" si="15">B40+10*LOG10(B42)</f>
        <v>-99.395775165767915</v>
      </c>
      <c r="C44" s="15">
        <f t="shared" si="15"/>
        <v>-99.395775165767915</v>
      </c>
      <c r="D44" s="15">
        <f t="shared" si="15"/>
        <v>-97.645162531850886</v>
      </c>
      <c r="E44" s="15">
        <f t="shared" si="15"/>
        <v>-97.645162531850886</v>
      </c>
      <c r="F44" s="73">
        <f t="shared" si="15"/>
        <v>-100.64516253185091</v>
      </c>
      <c r="G44" s="73">
        <f t="shared" si="15"/>
        <v>-100.64516253185091</v>
      </c>
      <c r="H44" s="15">
        <f t="shared" ref="H44:M44" si="16">H40+10*LOG10(H42)</f>
        <v>-95.981848314185626</v>
      </c>
      <c r="I44" s="15">
        <f t="shared" si="16"/>
        <v>-95.981848314185626</v>
      </c>
      <c r="J44" s="8">
        <f t="shared" si="16"/>
        <v>-93.834465122045614</v>
      </c>
      <c r="K44" s="8">
        <f t="shared" si="16"/>
        <v>-93.834465122045614</v>
      </c>
      <c r="L44" s="15">
        <f t="shared" si="16"/>
        <v>-100.64516253185091</v>
      </c>
      <c r="M44" s="15">
        <f t="shared" si="16"/>
        <v>-100.64516253185091</v>
      </c>
      <c r="N44" s="8">
        <f>N40+10*LOG10(N42)</f>
        <v>-100.64516253185091</v>
      </c>
      <c r="O44" s="8">
        <f>O40+10*LOG10(O42)</f>
        <v>-100.64516253185091</v>
      </c>
      <c r="P44" s="8">
        <f>P40+10*LOG10(P42)</f>
        <v>-99.395775165767915</v>
      </c>
      <c r="Q44" s="8">
        <f>Q40+10*LOG10(Q42)</f>
        <v>-99.395775165767915</v>
      </c>
    </row>
    <row r="45" spans="1:17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88">
        <v>-2.1</v>
      </c>
      <c r="O46" s="88">
        <v>3.7</v>
      </c>
      <c r="P46" s="88">
        <v>-2.83</v>
      </c>
      <c r="Q46" s="88">
        <v>2.61</v>
      </c>
    </row>
    <row r="47" spans="1:17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</row>
    <row r="51" spans="1:17" ht="30">
      <c r="A51" s="7" t="s">
        <v>82</v>
      </c>
      <c r="B51" s="15">
        <f t="shared" ref="B51:G51" si="17">B44+B46+B47-B49</f>
        <v>-101.39577516576792</v>
      </c>
      <c r="C51" s="15">
        <f t="shared" si="17"/>
        <v>-95.795775165767921</v>
      </c>
      <c r="D51" s="15">
        <f t="shared" si="17"/>
        <v>-102.70516253185089</v>
      </c>
      <c r="E51" s="15">
        <f t="shared" si="17"/>
        <v>-97.87516253185089</v>
      </c>
      <c r="F51" s="73">
        <f t="shared" si="17"/>
        <v>-102.18516253185092</v>
      </c>
      <c r="G51" s="73">
        <f t="shared" si="17"/>
        <v>-97.705162531850917</v>
      </c>
      <c r="H51" s="15">
        <f t="shared" ref="H51:M51" si="18">H44+H46+H47-H49</f>
        <v>-98.472848314185626</v>
      </c>
      <c r="I51" s="15">
        <f t="shared" si="18"/>
        <v>-92.129848314185622</v>
      </c>
      <c r="J51" s="8">
        <f t="shared" si="18"/>
        <v>-96.46446512204561</v>
      </c>
      <c r="K51" s="8">
        <f t="shared" si="18"/>
        <v>-94.034465122045617</v>
      </c>
      <c r="L51" s="15">
        <f t="shared" si="18"/>
        <v>-100.86516253185091</v>
      </c>
      <c r="M51" s="15">
        <f t="shared" si="18"/>
        <v>-94.675162531850916</v>
      </c>
      <c r="N51" s="8">
        <f>N44+N46+N47-N49</f>
        <v>-100.74516253185091</v>
      </c>
      <c r="O51" s="8">
        <f>O44+O46+O47-O49</f>
        <v>-94.945162531850912</v>
      </c>
      <c r="P51" s="8">
        <f>P44+P46+P47-P49</f>
        <v>-100.22577516576791</v>
      </c>
      <c r="Q51" s="8">
        <f>Q44+Q46+Q47-Q49</f>
        <v>-94.785775165767916</v>
      </c>
    </row>
    <row r="52" spans="1:17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</row>
    <row r="53" spans="1:17" ht="30">
      <c r="A53" s="26" t="s">
        <v>85</v>
      </c>
      <c r="B53" s="39">
        <f t="shared" ref="B53:G53" si="19">B26+B30+B33-B34-B51</f>
        <v>145.08239965311853</v>
      </c>
      <c r="C53" s="39">
        <f t="shared" si="19"/>
        <v>139.48239965311853</v>
      </c>
      <c r="D53" s="39">
        <f t="shared" si="19"/>
        <v>138.97239965311852</v>
      </c>
      <c r="E53" s="39">
        <f t="shared" si="19"/>
        <v>134.1423996531185</v>
      </c>
      <c r="F53" s="76">
        <f t="shared" si="19"/>
        <v>144.62239965311852</v>
      </c>
      <c r="G53" s="76">
        <f t="shared" si="19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Q53" si="20">J26+J30+J33-J34-J51</f>
        <v>144.92230215659285</v>
      </c>
      <c r="K53" s="39">
        <f t="shared" si="20"/>
        <v>142.49230215659287</v>
      </c>
      <c r="L53" s="39">
        <f t="shared" si="20"/>
        <v>143.30239965311853</v>
      </c>
      <c r="M53" s="39">
        <f t="shared" si="20"/>
        <v>137.11239965311853</v>
      </c>
      <c r="N53" s="39">
        <f t="shared" si="20"/>
        <v>128.18239965311852</v>
      </c>
      <c r="O53" s="39">
        <f t="shared" si="20"/>
        <v>122.38239965311853</v>
      </c>
      <c r="P53" s="39">
        <f t="shared" si="20"/>
        <v>143.91239965311854</v>
      </c>
      <c r="Q53" s="39">
        <f t="shared" si="20"/>
        <v>138.47239965311854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</row>
    <row r="56" spans="1:17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</row>
    <row r="57" spans="1:17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</row>
    <row r="58" spans="1:1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</row>
    <row r="60" spans="1:1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</row>
    <row r="62" spans="1:17" ht="30">
      <c r="A62" s="26" t="s">
        <v>111</v>
      </c>
      <c r="B62" s="39">
        <f t="shared" ref="B62:G62" si="21">B53-B57+B58-B59+B60</f>
        <v>145.08239965311853</v>
      </c>
      <c r="C62" s="39">
        <f t="shared" si="21"/>
        <v>139.48239965311853</v>
      </c>
      <c r="D62" s="39">
        <f t="shared" si="21"/>
        <v>138.97239965311852</v>
      </c>
      <c r="E62" s="39">
        <f t="shared" si="21"/>
        <v>134.1423996531185</v>
      </c>
      <c r="F62" s="76">
        <f t="shared" si="21"/>
        <v>144.62239965311852</v>
      </c>
      <c r="G62" s="76">
        <f t="shared" si="21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Q62" si="22">J53-J57+J58-J59+J60</f>
        <v>139.74230215659284</v>
      </c>
      <c r="K62" s="39">
        <f t="shared" si="22"/>
        <v>137.31230215659286</v>
      </c>
      <c r="L62" s="39">
        <f t="shared" si="22"/>
        <v>143.30239965311853</v>
      </c>
      <c r="M62" s="39">
        <f t="shared" si="22"/>
        <v>137.11239965311853</v>
      </c>
      <c r="N62" s="39">
        <f t="shared" si="22"/>
        <v>128.18239965311852</v>
      </c>
      <c r="O62" s="39">
        <f t="shared" si="22"/>
        <v>122.38239965311853</v>
      </c>
      <c r="P62" s="39">
        <f t="shared" si="22"/>
        <v>143.91239965311854</v>
      </c>
      <c r="Q62" s="39">
        <f t="shared" si="22"/>
        <v>138.47239965311854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  <c r="P63" s="101"/>
      <c r="Q63" s="101"/>
    </row>
    <row r="64" spans="1:17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0" t="s">
        <v>16</v>
      </c>
      <c r="O64" s="100" t="s">
        <v>16</v>
      </c>
      <c r="P64" s="100" t="s">
        <v>16</v>
      </c>
      <c r="Q64" s="100" t="s">
        <v>16</v>
      </c>
    </row>
    <row r="65" spans="1:17" ht="15">
      <c r="A65" s="26" t="s">
        <v>98</v>
      </c>
      <c r="B65" s="39">
        <f t="shared" ref="B65:G65" si="23">B17-B23-B51+B21+B33</f>
        <v>112.00000000000003</v>
      </c>
      <c r="C65" s="39">
        <f t="shared" si="23"/>
        <v>106.40000000000003</v>
      </c>
      <c r="D65" s="39">
        <f t="shared" si="23"/>
        <v>112.06</v>
      </c>
      <c r="E65" s="39">
        <f t="shared" si="23"/>
        <v>107.23000000000002</v>
      </c>
      <c r="F65" s="76">
        <f t="shared" si="23"/>
        <v>111.54000000000005</v>
      </c>
      <c r="G65" s="76">
        <f t="shared" si="23"/>
        <v>107.06000000000003</v>
      </c>
      <c r="H65" s="27">
        <f t="shared" ref="H65:M65" si="24">H17-H23-H51+H21+H33</f>
        <v>109.07707314841775</v>
      </c>
      <c r="I65" s="27">
        <f t="shared" si="24"/>
        <v>102.73407314841774</v>
      </c>
      <c r="J65" s="39">
        <f t="shared" si="24"/>
        <v>111.83990250347435</v>
      </c>
      <c r="K65" s="39">
        <f t="shared" si="24"/>
        <v>109.40990250347436</v>
      </c>
      <c r="L65" s="39">
        <f t="shared" si="24"/>
        <v>110.22000000000003</v>
      </c>
      <c r="M65" s="39">
        <f t="shared" si="24"/>
        <v>104.03000000000003</v>
      </c>
      <c r="N65" s="39">
        <f>N17-N23-N51+N21+N33</f>
        <v>110.10000000000002</v>
      </c>
      <c r="O65" s="39">
        <f>O17-O23-O51+O21+O33</f>
        <v>104.30000000000004</v>
      </c>
      <c r="P65" s="39">
        <f>P17-P23-P51+P21+P33</f>
        <v>110.83000000000004</v>
      </c>
      <c r="Q65" s="39">
        <f>Q17-Q23-Q51+Q21+Q33</f>
        <v>105.39000000000004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5"/>
  <sheetViews>
    <sheetView workbookViewId="0">
      <pane xSplit="1" ySplit="1" topLeftCell="L2" activePane="bottomRight" state="frozen"/>
      <selection pane="topRight"/>
      <selection pane="bottomLeft"/>
      <selection pane="bottomRight" activeCell="U13" sqref="U13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6" width="17.625" style="80" customWidth="1"/>
    <col min="7" max="7" width="18.12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125" style="1" customWidth="1"/>
    <col min="12" max="12" width="17.625" style="2" customWidth="1"/>
    <col min="13" max="13" width="18.125" style="1" customWidth="1"/>
    <col min="14" max="14" width="17.625" style="2" customWidth="1"/>
    <col min="15" max="16" width="18.125" style="1" customWidth="1"/>
    <col min="17" max="17" width="17.625" style="2" customWidth="1"/>
    <col min="18" max="18" width="18.125" style="1" customWidth="1"/>
    <col min="19" max="16384" width="9" style="1"/>
  </cols>
  <sheetData>
    <row r="1" spans="1:18" ht="14.25" customHeight="1">
      <c r="A1" s="3"/>
      <c r="B1" s="115" t="s">
        <v>101</v>
      </c>
      <c r="C1" s="115"/>
      <c r="D1" s="115" t="s">
        <v>102</v>
      </c>
      <c r="E1" s="115"/>
      <c r="F1" s="119" t="s">
        <v>119</v>
      </c>
      <c r="G1" s="119"/>
      <c r="H1" s="115" t="s">
        <v>125</v>
      </c>
      <c r="I1" s="115"/>
      <c r="J1" s="115" t="s">
        <v>126</v>
      </c>
      <c r="K1" s="115"/>
      <c r="L1" s="115" t="s">
        <v>127</v>
      </c>
      <c r="M1" s="115"/>
      <c r="N1" s="115" t="s">
        <v>128</v>
      </c>
      <c r="O1" s="115"/>
      <c r="P1" s="112" t="s">
        <v>130</v>
      </c>
      <c r="Q1" s="113"/>
      <c r="R1" s="114"/>
    </row>
    <row r="2" spans="1:18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  <c r="P2" s="105" t="s">
        <v>104</v>
      </c>
      <c r="Q2" s="31" t="s">
        <v>134</v>
      </c>
      <c r="R2" s="105" t="s">
        <v>106</v>
      </c>
    </row>
    <row r="3" spans="1:18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</row>
    <row r="4" spans="1:1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</row>
    <row r="5" spans="1:18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</row>
    <row r="6" spans="1:18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</row>
    <row r="7" spans="1:18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</row>
    <row r="8" spans="1:18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</row>
    <row r="9" spans="1:18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</row>
    <row r="10" spans="1:18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</row>
    <row r="11" spans="1:18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8">
        <v>128</v>
      </c>
    </row>
    <row r="13" spans="1:18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</row>
    <row r="14" spans="1:18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</row>
    <row r="15" spans="1:18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</row>
    <row r="16" spans="1:18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  <c r="P16" s="8">
        <f>P15+10*LOG10(P4)</f>
        <v>23</v>
      </c>
      <c r="Q16" s="8">
        <f>Q15+10*LOG10(Q4)</f>
        <v>23</v>
      </c>
      <c r="R16" s="8">
        <f>R15+10*LOG10(R4)</f>
        <v>23</v>
      </c>
    </row>
    <row r="17" spans="1:18" ht="30">
      <c r="A17" s="7" t="s">
        <v>35</v>
      </c>
      <c r="B17" s="15">
        <f t="shared" ref="B17:G17" si="2">B15+10*LOG10(B42/1000000)</f>
        <v>17.13634997198556</v>
      </c>
      <c r="C17" s="15">
        <f t="shared" si="2"/>
        <v>17.13634997198556</v>
      </c>
      <c r="D17" s="15">
        <f t="shared" si="2"/>
        <v>20.265642161622448</v>
      </c>
      <c r="E17" s="15">
        <f t="shared" si="2"/>
        <v>20.265642161622448</v>
      </c>
      <c r="F17" s="73">
        <f t="shared" si="2"/>
        <v>17.13634997198556</v>
      </c>
      <c r="G17" s="73">
        <f t="shared" si="2"/>
        <v>17.13634997198556</v>
      </c>
      <c r="H17" s="15">
        <f t="shared" ref="H17:M17" si="3">H15+10*LOG10(H42/1000000)</f>
        <v>21.115750058705935</v>
      </c>
      <c r="I17" s="15">
        <f t="shared" si="3"/>
        <v>21.115750058705935</v>
      </c>
      <c r="J17" s="8">
        <f t="shared" si="3"/>
        <v>20.265642161622448</v>
      </c>
      <c r="K17" s="8">
        <f t="shared" si="3"/>
        <v>20.265642161622448</v>
      </c>
      <c r="L17" s="15">
        <f t="shared" si="3"/>
        <v>17.13634997198556</v>
      </c>
      <c r="M17" s="15">
        <f t="shared" si="3"/>
        <v>17.13634997198556</v>
      </c>
      <c r="N17" s="8">
        <f>N15+10*LOG10(N42/1000000)</f>
        <v>17.13634997198556</v>
      </c>
      <c r="O17" s="8">
        <f>O15+10*LOG10(O42/1000000)</f>
        <v>17.13634997198556</v>
      </c>
      <c r="P17" s="8">
        <f>P15+10*LOG10(P42/1000000)</f>
        <v>22.779064276371184</v>
      </c>
      <c r="Q17" s="8">
        <f>Q15+10*LOG10(Q42/1000000)</f>
        <v>19.635124704151558</v>
      </c>
      <c r="R17" s="8">
        <f>R15+10*LOG10(R42/1000000)</f>
        <v>19.635124704151558</v>
      </c>
    </row>
    <row r="18" spans="1:18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  <c r="P18" s="8">
        <f>P19+10*LOG10(P12/P13)-P20</f>
        <v>26.061799739838872</v>
      </c>
      <c r="Q18" s="8">
        <f>Q19+10*LOG10(Q12/Q13)-Q20</f>
        <v>26.061799739838872</v>
      </c>
      <c r="R18" s="8">
        <f>R19+10*LOG10(R12/R13)-R20</f>
        <v>26.061799739838872</v>
      </c>
    </row>
    <row r="19" spans="1:18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</row>
    <row r="20" spans="1:18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86">
        <v>0</v>
      </c>
    </row>
    <row r="21" spans="1:18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</row>
    <row r="22" spans="1:18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</row>
    <row r="24" spans="1:18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</row>
    <row r="25" spans="1:18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</row>
    <row r="26" spans="1:18" ht="15">
      <c r="A26" s="7" t="s">
        <v>51</v>
      </c>
      <c r="B26" s="15">
        <f t="shared" ref="B26:G26" si="6">B17+B18+B21-B23-B24</f>
        <v>40.198149711824428</v>
      </c>
      <c r="C26" s="15">
        <f t="shared" si="6"/>
        <v>40.198149711824428</v>
      </c>
      <c r="D26" s="15">
        <f t="shared" si="6"/>
        <v>37.157441901461326</v>
      </c>
      <c r="E26" s="15">
        <f t="shared" si="6"/>
        <v>37.157441901461326</v>
      </c>
      <c r="F26" s="73">
        <f t="shared" si="6"/>
        <v>40.198149711824428</v>
      </c>
      <c r="G26" s="73">
        <f t="shared" si="6"/>
        <v>40.198149711824428</v>
      </c>
      <c r="H26" s="15">
        <f t="shared" ref="H26:M26" si="7">H17+H18+H21-H23-H24</f>
        <v>35.697549798544806</v>
      </c>
      <c r="I26" s="15">
        <f t="shared" si="7"/>
        <v>35.697549798544806</v>
      </c>
      <c r="J26" s="8">
        <f t="shared" si="7"/>
        <v>43.32744190146132</v>
      </c>
      <c r="K26" s="8">
        <f t="shared" si="7"/>
        <v>43.32744190146132</v>
      </c>
      <c r="L26" s="15">
        <f t="shared" si="7"/>
        <v>40.198149711824428</v>
      </c>
      <c r="M26" s="15">
        <f t="shared" si="7"/>
        <v>40.198149711824428</v>
      </c>
      <c r="N26" s="8">
        <f>N17+N18+N21-N23-N24</f>
        <v>31.198149711824428</v>
      </c>
      <c r="O26" s="8">
        <f>O17+O18+O21-O23-O24</f>
        <v>31.198149711824428</v>
      </c>
      <c r="P26" s="8">
        <f>P17+P18+P21-P23-P24</f>
        <v>45.840864016210055</v>
      </c>
      <c r="Q26" s="8">
        <f>Q17+Q18+Q21-Q23-Q24</f>
        <v>42.696924443990426</v>
      </c>
      <c r="R26" s="8">
        <f>R17+R18+R21-R23-R24</f>
        <v>42.696924443990426</v>
      </c>
    </row>
    <row r="27" spans="1:18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4</v>
      </c>
      <c r="Q28" s="8">
        <v>8</v>
      </c>
      <c r="R28" s="8">
        <v>4</v>
      </c>
    </row>
    <row r="29" spans="1:18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</row>
    <row r="30" spans="1:18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  <c r="P30" s="8">
        <f>P31+10*LOG10(P28/P29)-P32</f>
        <v>11.020599913279625</v>
      </c>
      <c r="Q30" s="8">
        <f>Q31+10*LOG10(Q28/Q29)-Q32</f>
        <v>11.020599913279625</v>
      </c>
      <c r="R30" s="8">
        <f>R31+10*LOG10(R28/R29)-R32</f>
        <v>11.020599913279625</v>
      </c>
    </row>
    <row r="31" spans="1:18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8">
        <v>5</v>
      </c>
    </row>
    <row r="32" spans="1:18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86">
        <v>0</v>
      </c>
    </row>
    <row r="33" spans="1:18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</row>
    <row r="35" spans="1:18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</row>
    <row r="38" spans="1:18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</row>
    <row r="39" spans="1:18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</row>
    <row r="40" spans="1:18" ht="30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  <c r="P40" s="8">
        <f>10*LOG10(10^((P35+P36)/10)+10^(P38/10))</f>
        <v>-167.00000000000003</v>
      </c>
      <c r="Q40" s="8">
        <f>10*LOG10(10^((Q35+Q36)/10)+10^(Q38/10))</f>
        <v>-167.00000000000003</v>
      </c>
      <c r="R40" s="8">
        <f>10*LOG10(10^((R35+R36)/10)+10^(R38/10))</f>
        <v>-167.00000000000003</v>
      </c>
    </row>
    <row r="41" spans="1:18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8" t="s">
        <v>16</v>
      </c>
    </row>
    <row r="42" spans="1:18" ht="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  <c r="P42" s="88">
        <f>66*12*120*1000</f>
        <v>95040000</v>
      </c>
      <c r="Q42" s="88">
        <f>32*12*120*1000</f>
        <v>46080000</v>
      </c>
      <c r="R42" s="88">
        <f>32*12*120*1000</f>
        <v>46080000</v>
      </c>
    </row>
    <row r="43" spans="1:18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8" t="s">
        <v>16</v>
      </c>
    </row>
    <row r="44" spans="1:18" ht="15">
      <c r="A44" s="7" t="s">
        <v>72</v>
      </c>
      <c r="B44" s="15">
        <f t="shared" ref="B44:G44" si="12">B40+10*LOG10(B42)</f>
        <v>-92.863650028014476</v>
      </c>
      <c r="C44" s="15">
        <f t="shared" si="12"/>
        <v>-92.863650028014476</v>
      </c>
      <c r="D44" s="15">
        <f t="shared" si="12"/>
        <v>-86.734357838377562</v>
      </c>
      <c r="E44" s="15">
        <f t="shared" si="12"/>
        <v>-86.734357838377562</v>
      </c>
      <c r="F44" s="73">
        <f t="shared" si="12"/>
        <v>-92.863650028014476</v>
      </c>
      <c r="G44" s="73">
        <f t="shared" si="12"/>
        <v>-92.863650028014476</v>
      </c>
      <c r="H44" s="15">
        <f t="shared" ref="H44:M44" si="13">H40+10*LOG10(H42)</f>
        <v>-85.470323089711812</v>
      </c>
      <c r="I44" s="15">
        <f t="shared" si="13"/>
        <v>-85.470323089711812</v>
      </c>
      <c r="J44" s="8">
        <f t="shared" si="13"/>
        <v>-88.944260341851916</v>
      </c>
      <c r="K44" s="8">
        <f t="shared" si="13"/>
        <v>-88.944260341851916</v>
      </c>
      <c r="L44" s="15">
        <f t="shared" si="13"/>
        <v>-92.863650028014476</v>
      </c>
      <c r="M44" s="15">
        <f t="shared" si="13"/>
        <v>-92.863650028014476</v>
      </c>
      <c r="N44" s="8">
        <f>N40+10*LOG10(N42)</f>
        <v>-92.863650028014476</v>
      </c>
      <c r="O44" s="8">
        <f>O40+10*LOG10(O42)</f>
        <v>-92.863650028014476</v>
      </c>
      <c r="P44" s="8">
        <f>P40+10*LOG10(P42)</f>
        <v>-87.220935723628841</v>
      </c>
      <c r="Q44" s="8">
        <f>Q40+10*LOG10(Q42)</f>
        <v>-90.364875295848478</v>
      </c>
      <c r="R44" s="8">
        <f>R40+10*LOG10(R42)</f>
        <v>-90.364875295848478</v>
      </c>
    </row>
    <row r="45" spans="1:18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8" t="s">
        <v>16</v>
      </c>
    </row>
    <row r="46" spans="1:18" ht="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  <c r="P46" s="88">
        <v>-2.73</v>
      </c>
      <c r="Q46" s="88">
        <v>-3.12</v>
      </c>
      <c r="R46" s="88">
        <v>0.87</v>
      </c>
    </row>
    <row r="47" spans="1:18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</row>
    <row r="48" spans="1:18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</row>
    <row r="49" spans="1:1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1:18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</row>
    <row r="51" spans="1:18" ht="30">
      <c r="A51" s="7" t="s">
        <v>82</v>
      </c>
      <c r="B51" s="15">
        <f t="shared" ref="B51:G51" si="14">B44+B46+B47-B49</f>
        <v>-92.263650028014482</v>
      </c>
      <c r="C51" s="15">
        <f t="shared" si="14"/>
        <v>-86.96365002801447</v>
      </c>
      <c r="D51" s="15">
        <f t="shared" si="14"/>
        <v>-92.084357838377557</v>
      </c>
      <c r="E51" s="15">
        <f t="shared" si="14"/>
        <v>-87.494357838377567</v>
      </c>
      <c r="F51" s="73">
        <f t="shared" si="14"/>
        <v>-93.953650028014479</v>
      </c>
      <c r="G51" s="73">
        <f t="shared" si="14"/>
        <v>-89.183650028014469</v>
      </c>
      <c r="H51" s="15">
        <f t="shared" ref="H51:M51" si="15">H44+H46+H47-H49</f>
        <v>-89.420323089711815</v>
      </c>
      <c r="I51" s="15">
        <f t="shared" si="15"/>
        <v>-84.820323089711806</v>
      </c>
      <c r="J51" s="8">
        <f t="shared" si="15"/>
        <v>-90.744260341851913</v>
      </c>
      <c r="K51" s="8">
        <f t="shared" si="15"/>
        <v>-88.144260341851918</v>
      </c>
      <c r="L51" s="15">
        <f t="shared" si="15"/>
        <v>-91.73365002801448</v>
      </c>
      <c r="M51" s="15">
        <f t="shared" si="15"/>
        <v>-86.743650028014471</v>
      </c>
      <c r="N51" s="8">
        <f>N44+N46+N47-N49</f>
        <v>-92.763650028014482</v>
      </c>
      <c r="O51" s="8">
        <f>O44+O46+O47-O49</f>
        <v>-88.263650028014482</v>
      </c>
      <c r="P51" s="8">
        <f>P44+P46+P47-P49</f>
        <v>-87.950935723628845</v>
      </c>
      <c r="Q51" s="8">
        <f>Q44+Q46+Q47-Q49</f>
        <v>-91.484875295848482</v>
      </c>
      <c r="R51" s="8">
        <f>R44+R46+R47-R49</f>
        <v>-87.494875295848473</v>
      </c>
    </row>
    <row r="52" spans="1:18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00" t="s">
        <v>16</v>
      </c>
    </row>
    <row r="53" spans="1:18" ht="30">
      <c r="A53" s="26" t="s">
        <v>85</v>
      </c>
      <c r="B53" s="39">
        <f t="shared" ref="B53:G53" si="16">B26+B30+B33-B34-B51</f>
        <v>142.48239965311853</v>
      </c>
      <c r="C53" s="39">
        <f t="shared" si="16"/>
        <v>137.18239965311852</v>
      </c>
      <c r="D53" s="39">
        <f t="shared" si="16"/>
        <v>139.26239965311851</v>
      </c>
      <c r="E53" s="39">
        <f t="shared" si="16"/>
        <v>134.67239965311853</v>
      </c>
      <c r="F53" s="76">
        <f t="shared" si="16"/>
        <v>144.17239965311853</v>
      </c>
      <c r="G53" s="76">
        <f t="shared" si="16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R53" si="17">J26+J30+J33-J34-J51</f>
        <v>144.09230215659287</v>
      </c>
      <c r="K53" s="39">
        <f t="shared" si="17"/>
        <v>141.49230215659287</v>
      </c>
      <c r="L53" s="39">
        <f t="shared" si="17"/>
        <v>141.95239965311853</v>
      </c>
      <c r="M53" s="39">
        <f t="shared" si="17"/>
        <v>136.96239965311852</v>
      </c>
      <c r="N53" s="39">
        <f t="shared" si="17"/>
        <v>127.98239965311853</v>
      </c>
      <c r="O53" s="39">
        <f t="shared" si="17"/>
        <v>123.48239965311853</v>
      </c>
      <c r="P53" s="39">
        <f t="shared" si="17"/>
        <v>143.81239965311852</v>
      </c>
      <c r="Q53" s="39">
        <f t="shared" si="17"/>
        <v>144.20239965311853</v>
      </c>
      <c r="R53" s="39">
        <f t="shared" si="17"/>
        <v>140.21239965311852</v>
      </c>
    </row>
    <row r="54" spans="1:18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</row>
    <row r="56" spans="1:18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</row>
    <row r="57" spans="1:18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</row>
    <row r="58" spans="1:18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</row>
    <row r="59" spans="1:18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</row>
    <row r="60" spans="1:18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</row>
    <row r="61" spans="1:18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00" t="s">
        <v>16</v>
      </c>
    </row>
    <row r="62" spans="1:18" ht="30">
      <c r="A62" s="26" t="s">
        <v>111</v>
      </c>
      <c r="B62" s="39">
        <f t="shared" ref="B62:G62" si="18">B53-B57+B58-B59+B60</f>
        <v>142.48239965311853</v>
      </c>
      <c r="C62" s="39">
        <f t="shared" si="18"/>
        <v>137.18239965311852</v>
      </c>
      <c r="D62" s="39">
        <f t="shared" si="18"/>
        <v>139.26239965311851</v>
      </c>
      <c r="E62" s="39">
        <f t="shared" si="18"/>
        <v>134.67239965311853</v>
      </c>
      <c r="F62" s="76">
        <f t="shared" si="18"/>
        <v>144.17239965311853</v>
      </c>
      <c r="G62" s="76">
        <f t="shared" si="18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R62" si="19">J53-J57+J58-J59+J60</f>
        <v>144.09230215659287</v>
      </c>
      <c r="K62" s="39">
        <f t="shared" si="19"/>
        <v>141.49230215659287</v>
      </c>
      <c r="L62" s="39">
        <f t="shared" si="19"/>
        <v>141.95239965311853</v>
      </c>
      <c r="M62" s="39">
        <f t="shared" si="19"/>
        <v>136.96239965311852</v>
      </c>
      <c r="N62" s="39">
        <f t="shared" si="19"/>
        <v>127.98239965311853</v>
      </c>
      <c r="O62" s="39">
        <f t="shared" si="19"/>
        <v>123.48239965311853</v>
      </c>
      <c r="P62" s="39">
        <f t="shared" si="19"/>
        <v>143.81239965311852</v>
      </c>
      <c r="Q62" s="39">
        <f t="shared" si="19"/>
        <v>144.20239965311853</v>
      </c>
      <c r="R62" s="39">
        <f t="shared" si="19"/>
        <v>140.21239965311852</v>
      </c>
    </row>
    <row r="63" spans="1:18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  <c r="P63" s="101"/>
      <c r="Q63" s="101"/>
      <c r="R63" s="101"/>
    </row>
    <row r="64" spans="1:18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00" t="s">
        <v>16</v>
      </c>
    </row>
    <row r="65" spans="1:18" ht="15">
      <c r="A65" s="26" t="s">
        <v>98</v>
      </c>
      <c r="B65" s="39">
        <f t="shared" ref="B65:G65" si="20">B17-B23-B51+B21+B33</f>
        <v>109.40000000000003</v>
      </c>
      <c r="C65" s="39">
        <f t="shared" si="20"/>
        <v>104.10000000000002</v>
      </c>
      <c r="D65" s="39">
        <f t="shared" si="20"/>
        <v>112.35000000000001</v>
      </c>
      <c r="E65" s="39">
        <f t="shared" si="20"/>
        <v>107.76000000000002</v>
      </c>
      <c r="F65" s="76">
        <f t="shared" si="20"/>
        <v>111.09000000000003</v>
      </c>
      <c r="G65" s="76">
        <f t="shared" si="20"/>
        <v>106.32000000000002</v>
      </c>
      <c r="H65" s="27">
        <f t="shared" ref="H65:M65" si="21">H17-H23-H51+H21+H33</f>
        <v>110.53607314841776</v>
      </c>
      <c r="I65" s="27">
        <f t="shared" si="21"/>
        <v>105.93607314841773</v>
      </c>
      <c r="J65" s="39">
        <f t="shared" si="21"/>
        <v>111.00990250347436</v>
      </c>
      <c r="K65" s="39">
        <f t="shared" si="21"/>
        <v>108.40990250347437</v>
      </c>
      <c r="L65" s="39">
        <f t="shared" si="21"/>
        <v>108.87000000000003</v>
      </c>
      <c r="M65" s="39">
        <f t="shared" si="21"/>
        <v>103.88000000000002</v>
      </c>
      <c r="N65" s="27">
        <f>N17-N23-N51+N21+N33</f>
        <v>109.90000000000003</v>
      </c>
      <c r="O65" s="27">
        <f>O17-O23-O51+O21+O33</f>
        <v>105.40000000000003</v>
      </c>
      <c r="P65" s="39">
        <f>P17-P23-P51+P21+P33</f>
        <v>110.73000000000003</v>
      </c>
      <c r="Q65" s="39">
        <f>Q17-Q23-Q51+Q21+Q33</f>
        <v>111.12000000000003</v>
      </c>
      <c r="R65" s="39">
        <f>R17-R23-R51+R21+R33</f>
        <v>107.13000000000002</v>
      </c>
    </row>
  </sheetData>
  <mergeCells count="8">
    <mergeCell ref="P1:R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5"/>
  <sheetViews>
    <sheetView zoomScaleNormal="100" workbookViewId="0">
      <pane xSplit="1" ySplit="1" topLeftCell="I2" activePane="bottomRight" state="frozen"/>
      <selection pane="topRight"/>
      <selection pane="bottomLeft"/>
      <selection pane="bottomRight" activeCell="P42" sqref="P4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6" width="15.625" style="80" customWidth="1"/>
    <col min="7" max="7" width="17.75" style="1" customWidth="1"/>
    <col min="8" max="8" width="14.625" style="1" bestFit="1" customWidth="1"/>
    <col min="9" max="9" width="17.375" style="1" bestFit="1" customWidth="1"/>
    <col min="10" max="10" width="15.625" style="2" customWidth="1"/>
    <col min="11" max="11" width="17.75" style="1" customWidth="1"/>
    <col min="12" max="12" width="15.625" style="2" customWidth="1"/>
    <col min="13" max="13" width="17.75" style="1" customWidth="1"/>
    <col min="14" max="14" width="15.625" style="2" customWidth="1"/>
    <col min="15" max="15" width="17.75" style="1" customWidth="1"/>
    <col min="16" max="16" width="15.625" style="2" customWidth="1"/>
    <col min="17" max="17" width="17.625" style="1" customWidth="1"/>
    <col min="18" max="16384" width="9" style="1"/>
  </cols>
  <sheetData>
    <row r="1" spans="1:17" ht="14.25" customHeight="1">
      <c r="A1" s="3"/>
      <c r="B1" s="112" t="s">
        <v>101</v>
      </c>
      <c r="C1" s="113"/>
      <c r="D1" s="112" t="s">
        <v>102</v>
      </c>
      <c r="E1" s="113"/>
      <c r="F1" s="116" t="s">
        <v>119</v>
      </c>
      <c r="G1" s="117"/>
      <c r="H1" s="112" t="s">
        <v>125</v>
      </c>
      <c r="I1" s="113"/>
      <c r="J1" s="112" t="s">
        <v>126</v>
      </c>
      <c r="K1" s="113"/>
      <c r="L1" s="112" t="s">
        <v>127</v>
      </c>
      <c r="M1" s="113"/>
      <c r="N1" s="112" t="s">
        <v>128</v>
      </c>
      <c r="O1" s="113"/>
      <c r="P1" s="112" t="s">
        <v>130</v>
      </c>
      <c r="Q1" s="113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</row>
    <row r="3" spans="1:1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</row>
    <row r="8" spans="1:17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</row>
    <row r="9" spans="1:1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</row>
    <row r="10" spans="1:1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</row>
    <row r="13" spans="1:1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</row>
    <row r="14" spans="1:17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</row>
    <row r="17" spans="1:17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>P16</f>
        <v>23</v>
      </c>
      <c r="Q17" s="8">
        <f>Q16</f>
        <v>23</v>
      </c>
    </row>
    <row r="18" spans="1:17" ht="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3">
        <f t="shared" ref="H18:M18" si="3">H19+10*LOG10(H12/H14)-H20</f>
        <v>6.0205999132796251</v>
      </c>
      <c r="I18" s="13">
        <f t="shared" si="3"/>
        <v>6.0205999132796251</v>
      </c>
      <c r="J18" s="8">
        <f t="shared" si="3"/>
        <v>11.020599913279625</v>
      </c>
      <c r="K18" s="8">
        <f t="shared" si="3"/>
        <v>11.020599913279625</v>
      </c>
      <c r="L18" s="15">
        <f t="shared" si="3"/>
        <v>11.020599913279625</v>
      </c>
      <c r="M18" s="15">
        <f t="shared" si="3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>P19+10*LOG10(P12/P14)-P20</f>
        <v>11.020599913279625</v>
      </c>
      <c r="Q18" s="8">
        <f>Q19+10*LOG10(Q12/Q14)-Q20</f>
        <v>11.020599913279625</v>
      </c>
    </row>
    <row r="19" spans="1:17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</row>
    <row r="20" spans="1:17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</row>
    <row r="26" spans="1:17" ht="15">
      <c r="A26" s="7" t="s">
        <v>51</v>
      </c>
      <c r="B26" s="8">
        <f t="shared" ref="B26:G26" si="4">B17+B18+B21-B23-B24</f>
        <v>22.020599913279625</v>
      </c>
      <c r="C26" s="8">
        <f t="shared" si="4"/>
        <v>22.020599913279625</v>
      </c>
      <c r="D26" s="8">
        <f t="shared" si="4"/>
        <v>33.020599913279625</v>
      </c>
      <c r="E26" s="8">
        <f t="shared" si="4"/>
        <v>33.020599913279625</v>
      </c>
      <c r="F26" s="69">
        <f t="shared" si="4"/>
        <v>33.020599913279625</v>
      </c>
      <c r="G26" s="69">
        <f t="shared" si="4"/>
        <v>33.020599913279625</v>
      </c>
      <c r="H26" s="18">
        <f t="shared" ref="H26:M26" si="5">H17+H18+H21-H23-H24</f>
        <v>17.020599913279625</v>
      </c>
      <c r="I26" s="18">
        <f t="shared" si="5"/>
        <v>17.020599913279625</v>
      </c>
      <c r="J26" s="8">
        <f t="shared" si="5"/>
        <v>33.020599913279625</v>
      </c>
      <c r="K26" s="8">
        <f t="shared" si="5"/>
        <v>33.020599913279625</v>
      </c>
      <c r="L26" s="8">
        <f t="shared" si="5"/>
        <v>33.020599913279625</v>
      </c>
      <c r="M26" s="8">
        <f t="shared" si="5"/>
        <v>33.020599913279625</v>
      </c>
      <c r="N26" s="8">
        <f>N17+N18+N21-N23-N24</f>
        <v>28.020599913279625</v>
      </c>
      <c r="O26" s="8">
        <f>O17+O18+O21-O23-O24</f>
        <v>28.020599913279625</v>
      </c>
      <c r="P26" s="8">
        <f>P17+P18+P21-P23-P24</f>
        <v>33.020599913279625</v>
      </c>
      <c r="Q26" s="8">
        <f>Q17+Q18+Q21-Q23-Q24</f>
        <v>33.020599913279625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</row>
    <row r="28" spans="1:17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</row>
    <row r="29" spans="1:17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</row>
    <row r="30" spans="1:17" ht="45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19.891799739838874</v>
      </c>
      <c r="E30" s="15">
        <f t="shared" si="6"/>
        <v>19.891799739838874</v>
      </c>
      <c r="F30" s="73">
        <f t="shared" si="6"/>
        <v>26.061799739838872</v>
      </c>
      <c r="G30" s="73">
        <f t="shared" si="6"/>
        <v>26.061799739838872</v>
      </c>
      <c r="H30" s="13">
        <f t="shared" ref="H30:M30" si="7">H31+10*LOG10(H28/H13)-H32</f>
        <v>26.061799739838872</v>
      </c>
      <c r="I30" s="13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15">
        <f t="shared" si="7"/>
        <v>26.061799739838872</v>
      </c>
      <c r="M30" s="15">
        <f t="shared" si="7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>P31+10*LOG10(P28/P13)-P32</f>
        <v>20.061799739838872</v>
      </c>
      <c r="Q30" s="8">
        <f>Q31+10*LOG10(Q28/Q13)-Q32</f>
        <v>20.061799739838872</v>
      </c>
    </row>
    <row r="31" spans="1:17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6</v>
      </c>
      <c r="Q32" s="86">
        <v>6</v>
      </c>
    </row>
    <row r="33" spans="1:17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</row>
    <row r="34" spans="1:17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</row>
    <row r="39" spans="1:17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</row>
    <row r="40" spans="1:17" ht="30">
      <c r="A40" s="7" t="s">
        <v>109</v>
      </c>
      <c r="B40" s="15">
        <f t="shared" ref="B40:G40" si="8">10*LOG10(10^((B35+B36)/10)+10^(B38/10))</f>
        <v>-169.00000000000003</v>
      </c>
      <c r="C40" s="15">
        <f t="shared" si="8"/>
        <v>-169.00000000000003</v>
      </c>
      <c r="D40" s="15">
        <f t="shared" si="8"/>
        <v>-167.00000000000003</v>
      </c>
      <c r="E40" s="15">
        <f t="shared" si="8"/>
        <v>-167.00000000000003</v>
      </c>
      <c r="F40" s="73">
        <f t="shared" si="8"/>
        <v>-169.00000000000003</v>
      </c>
      <c r="G40" s="73">
        <f t="shared" si="8"/>
        <v>-169.00000000000003</v>
      </c>
      <c r="H40" s="13">
        <f t="shared" ref="H40:M40" si="9">10*LOG10(10^((H35+H36)/10)+10^(H38/10))</f>
        <v>-166.34726225295711</v>
      </c>
      <c r="I40" s="13">
        <f t="shared" si="9"/>
        <v>-166.34726225295711</v>
      </c>
      <c r="J40" s="8">
        <f t="shared" si="9"/>
        <v>-168.00651048203736</v>
      </c>
      <c r="K40" s="8">
        <f t="shared" si="9"/>
        <v>-168.00651048203736</v>
      </c>
      <c r="L40" s="15">
        <f t="shared" si="9"/>
        <v>-169.00000000000003</v>
      </c>
      <c r="M40" s="15">
        <f t="shared" si="9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  <c r="P40" s="8">
        <f>10*LOG10(10^((P35+P36)/10)+10^(P38/10))</f>
        <v>-169.00000000000003</v>
      </c>
      <c r="Q40" s="8">
        <f>10*LOG10(10^((Q35+Q36)/10)+10^(Q38/10))</f>
        <v>-169.00000000000003</v>
      </c>
    </row>
    <row r="41" spans="1:17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24" t="s">
        <v>70</v>
      </c>
      <c r="B42" s="15">
        <f t="shared" ref="B42:G42" si="10">2*12*120*1000</f>
        <v>2880000</v>
      </c>
      <c r="C42" s="15">
        <f t="shared" si="10"/>
        <v>2880000</v>
      </c>
      <c r="D42" s="15">
        <f t="shared" si="10"/>
        <v>2880000</v>
      </c>
      <c r="E42" s="15">
        <f t="shared" si="10"/>
        <v>2880000</v>
      </c>
      <c r="F42" s="73">
        <f t="shared" si="10"/>
        <v>2880000</v>
      </c>
      <c r="G42" s="73">
        <f t="shared" si="10"/>
        <v>2880000</v>
      </c>
      <c r="H42" s="96">
        <f t="shared" ref="H42:M42" si="11">2*12*120*1000</f>
        <v>2880000</v>
      </c>
      <c r="I42" s="96">
        <f t="shared" si="11"/>
        <v>2880000</v>
      </c>
      <c r="J42" s="8">
        <f t="shared" si="11"/>
        <v>2880000</v>
      </c>
      <c r="K42" s="8">
        <f t="shared" si="11"/>
        <v>2880000</v>
      </c>
      <c r="L42" s="15">
        <f t="shared" si="11"/>
        <v>2880000</v>
      </c>
      <c r="M42" s="15">
        <f t="shared" si="11"/>
        <v>2880000</v>
      </c>
      <c r="N42" s="88">
        <f>2*12*120*1000</f>
        <v>2880000</v>
      </c>
      <c r="O42" s="88">
        <f>2*12*120*1000</f>
        <v>2880000</v>
      </c>
      <c r="P42" s="120">
        <f>4*12*120*1000</f>
        <v>5760000</v>
      </c>
      <c r="Q42" s="120">
        <f>4*12*120*1000</f>
        <v>5760000</v>
      </c>
    </row>
    <row r="43" spans="1:17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  <c r="P43" s="99" t="s">
        <v>16</v>
      </c>
      <c r="Q43" s="99" t="s">
        <v>16</v>
      </c>
    </row>
    <row r="44" spans="1:17" ht="15">
      <c r="A44" s="7" t="s">
        <v>72</v>
      </c>
      <c r="B44" s="15">
        <f t="shared" ref="B44:G44" si="12">B40+10*LOG10(B42)</f>
        <v>-104.40607512240773</v>
      </c>
      <c r="C44" s="15">
        <f t="shared" si="12"/>
        <v>-104.40607512240773</v>
      </c>
      <c r="D44" s="15">
        <f t="shared" si="12"/>
        <v>-102.40607512240773</v>
      </c>
      <c r="E44" s="15">
        <f t="shared" si="12"/>
        <v>-102.40607512240773</v>
      </c>
      <c r="F44" s="73">
        <f t="shared" si="12"/>
        <v>-104.40607512240773</v>
      </c>
      <c r="G44" s="73">
        <f t="shared" si="12"/>
        <v>-104.40607512240773</v>
      </c>
      <c r="H44" s="13">
        <f t="shared" ref="H44:M44" si="13">H40+10*LOG10(H42)</f>
        <v>-101.75333737536481</v>
      </c>
      <c r="I44" s="13">
        <f t="shared" si="13"/>
        <v>-101.75333737536481</v>
      </c>
      <c r="J44" s="8">
        <f t="shared" si="13"/>
        <v>-103.41258560444506</v>
      </c>
      <c r="K44" s="8">
        <f t="shared" si="13"/>
        <v>-103.41258560444506</v>
      </c>
      <c r="L44" s="15">
        <f t="shared" si="13"/>
        <v>-104.40607512240773</v>
      </c>
      <c r="M44" s="15">
        <f t="shared" si="13"/>
        <v>-104.40607512240773</v>
      </c>
      <c r="N44" s="8">
        <f>N40+10*LOG10(N42)</f>
        <v>-104.40607512240773</v>
      </c>
      <c r="O44" s="8">
        <f>O40+10*LOG10(O42)</f>
        <v>-104.40607512240773</v>
      </c>
      <c r="P44" s="8">
        <f>P40+10*LOG10(P42)</f>
        <v>-101.39577516576792</v>
      </c>
      <c r="Q44" s="8">
        <f>Q40+10*LOG10(Q42)</f>
        <v>-101.39577516576792</v>
      </c>
    </row>
    <row r="45" spans="1:17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  <c r="P46" s="88">
        <v>2.0733999999999999</v>
      </c>
      <c r="Q46" s="88">
        <v>2.0733999999999999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</row>
    <row r="51" spans="1:17" ht="30">
      <c r="A51" s="7" t="s">
        <v>82</v>
      </c>
      <c r="B51" s="15">
        <f t="shared" ref="B51:G51" si="14">B44+B46+B47-B49</f>
        <v>-104.30607512240773</v>
      </c>
      <c r="C51" s="15">
        <f t="shared" si="14"/>
        <v>-104.30607512240773</v>
      </c>
      <c r="D51" s="15">
        <f t="shared" si="14"/>
        <v>-102.41607512240773</v>
      </c>
      <c r="E51" s="15">
        <f t="shared" si="14"/>
        <v>-102.41607512240773</v>
      </c>
      <c r="F51" s="73">
        <f t="shared" si="14"/>
        <v>-104.15607512240773</v>
      </c>
      <c r="G51" s="73">
        <f t="shared" si="14"/>
        <v>-104.15607512240773</v>
      </c>
      <c r="H51" s="13">
        <f t="shared" ref="H51:M51" si="15">H44+H46+H47-H49</f>
        <v>-102.73333737536481</v>
      </c>
      <c r="I51" s="13">
        <f t="shared" si="15"/>
        <v>-102.73333737536481</v>
      </c>
      <c r="J51" s="8">
        <f t="shared" si="15"/>
        <v>-97.03258560444506</v>
      </c>
      <c r="K51" s="8">
        <f t="shared" si="15"/>
        <v>-97.03258560444506</v>
      </c>
      <c r="L51" s="15">
        <f t="shared" si="15"/>
        <v>-104.18607512240773</v>
      </c>
      <c r="M51" s="15">
        <f t="shared" si="15"/>
        <v>-104.18607512240773</v>
      </c>
      <c r="N51" s="8">
        <f>N44+N46+N47-N49</f>
        <v>-104.20607512240773</v>
      </c>
      <c r="O51" s="8">
        <f>O44+O46+O47-O49</f>
        <v>-104.20607512240773</v>
      </c>
      <c r="P51" s="8">
        <f>P44+P46+P47-P49</f>
        <v>-97.322375165767909</v>
      </c>
      <c r="Q51" s="8">
        <f>Q44+Q46+Q47-Q49</f>
        <v>-97.322375165767909</v>
      </c>
    </row>
    <row r="52" spans="1:17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</row>
    <row r="53" spans="1:17" ht="30">
      <c r="A53" s="26" t="s">
        <v>85</v>
      </c>
      <c r="B53" s="39">
        <f t="shared" ref="B53:G53" si="16">B26+B30+B33-B34-B51</f>
        <v>149.38847477552622</v>
      </c>
      <c r="C53" s="39">
        <f t="shared" si="16"/>
        <v>149.38847477552622</v>
      </c>
      <c r="D53" s="39">
        <f t="shared" si="16"/>
        <v>152.32847477552622</v>
      </c>
      <c r="E53" s="39">
        <f t="shared" si="16"/>
        <v>152.32847477552622</v>
      </c>
      <c r="F53" s="76">
        <f t="shared" si="16"/>
        <v>160.23847477552624</v>
      </c>
      <c r="G53" s="76">
        <f t="shared" si="16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Q53" si="17">J26+J30+J33-J34-J51</f>
        <v>153.11498525756355</v>
      </c>
      <c r="K53" s="39">
        <f t="shared" si="17"/>
        <v>153.11498525756355</v>
      </c>
      <c r="L53" s="39">
        <f t="shared" si="17"/>
        <v>160.26847477552622</v>
      </c>
      <c r="M53" s="39">
        <f t="shared" si="17"/>
        <v>160.26847477552622</v>
      </c>
      <c r="N53" s="39">
        <f t="shared" si="17"/>
        <v>146.28847477552623</v>
      </c>
      <c r="O53" s="39">
        <f t="shared" si="17"/>
        <v>146.28847477552623</v>
      </c>
      <c r="P53" s="39">
        <f t="shared" si="17"/>
        <v>147.40477481888641</v>
      </c>
      <c r="Q53" s="39">
        <f t="shared" si="17"/>
        <v>147.40477481888641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  <c r="P54" s="14"/>
      <c r="Q54" s="14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</row>
    <row r="56" spans="1:17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</row>
    <row r="57" spans="1:17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</row>
    <row r="58" spans="1:1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</row>
    <row r="60" spans="1:1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</row>
    <row r="62" spans="1:17" ht="30">
      <c r="A62" s="26" t="s">
        <v>111</v>
      </c>
      <c r="B62" s="39">
        <f t="shared" ref="B62:G62" si="18">B53-B57+B58-B59+B60</f>
        <v>149.38847477552622</v>
      </c>
      <c r="C62" s="39">
        <f t="shared" si="18"/>
        <v>149.38847477552622</v>
      </c>
      <c r="D62" s="39">
        <f t="shared" si="18"/>
        <v>152.32847477552622</v>
      </c>
      <c r="E62" s="39">
        <f t="shared" si="18"/>
        <v>152.32847477552622</v>
      </c>
      <c r="F62" s="76">
        <f t="shared" si="18"/>
        <v>160.23847477552624</v>
      </c>
      <c r="G62" s="76">
        <f t="shared" si="18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Q62" si="19">J53-J57+J58-J59+J60</f>
        <v>147.93498525756354</v>
      </c>
      <c r="K62" s="39">
        <f t="shared" si="19"/>
        <v>147.93498525756354</v>
      </c>
      <c r="L62" s="39">
        <f t="shared" si="19"/>
        <v>160.26847477552622</v>
      </c>
      <c r="M62" s="39">
        <f t="shared" si="19"/>
        <v>160.26847477552622</v>
      </c>
      <c r="N62" s="39">
        <f t="shared" si="19"/>
        <v>146.28847477552623</v>
      </c>
      <c r="O62" s="39">
        <f t="shared" si="19"/>
        <v>146.28847477552623</v>
      </c>
      <c r="P62" s="39">
        <f t="shared" si="19"/>
        <v>147.40477481888641</v>
      </c>
      <c r="Q62" s="39">
        <f t="shared" si="19"/>
        <v>147.40477481888641</v>
      </c>
    </row>
    <row r="63" spans="1:17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  <c r="P63" s="102"/>
      <c r="Q63" s="102"/>
    </row>
    <row r="64" spans="1:17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</row>
    <row r="65" spans="1:17" ht="15">
      <c r="A65" s="26" t="s">
        <v>98</v>
      </c>
      <c r="B65" s="39">
        <f t="shared" ref="B65:G65" si="20">B17-B23-B51+B21+B33</f>
        <v>116.30607512240773</v>
      </c>
      <c r="C65" s="39">
        <f t="shared" si="20"/>
        <v>116.30607512240773</v>
      </c>
      <c r="D65" s="39">
        <f t="shared" si="20"/>
        <v>125.41607512240773</v>
      </c>
      <c r="E65" s="39">
        <f t="shared" si="20"/>
        <v>125.41607512240773</v>
      </c>
      <c r="F65" s="76">
        <f t="shared" si="20"/>
        <v>127.15607512240773</v>
      </c>
      <c r="G65" s="76">
        <f t="shared" si="20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Q65" si="21">J17-J23-J51+J21+J33</f>
        <v>120.03258560444506</v>
      </c>
      <c r="K65" s="39">
        <f t="shared" si="21"/>
        <v>120.03258560444506</v>
      </c>
      <c r="L65" s="39">
        <f t="shared" si="21"/>
        <v>127.18607512240773</v>
      </c>
      <c r="M65" s="39">
        <f t="shared" si="21"/>
        <v>127.18607512240773</v>
      </c>
      <c r="N65" s="27">
        <f t="shared" si="21"/>
        <v>127.20607512240773</v>
      </c>
      <c r="O65" s="27">
        <f t="shared" si="21"/>
        <v>127.20607512240773</v>
      </c>
      <c r="P65" s="39">
        <f t="shared" si="21"/>
        <v>120.32237516576791</v>
      </c>
      <c r="Q65" s="39">
        <f t="shared" si="21"/>
        <v>120.32237516576791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L8" sqref="L8"/>
    </sheetView>
  </sheetViews>
  <sheetFormatPr defaultColWidth="9" defaultRowHeight="14.25"/>
  <cols>
    <col min="1" max="1" width="62.125" style="1" customWidth="1"/>
    <col min="2" max="3" width="14.75" style="1" bestFit="1" customWidth="1"/>
    <col min="4" max="4" width="15.625" style="2" customWidth="1"/>
    <col min="5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>
      <c r="A1" s="3"/>
      <c r="B1" s="112" t="s">
        <v>125</v>
      </c>
      <c r="C1" s="113"/>
      <c r="D1" s="112" t="s">
        <v>128</v>
      </c>
      <c r="E1" s="113"/>
      <c r="F1" s="113"/>
      <c r="G1" s="114"/>
      <c r="H1" s="112" t="s">
        <v>130</v>
      </c>
      <c r="I1" s="113"/>
      <c r="J1" s="113"/>
      <c r="K1" s="114"/>
    </row>
    <row r="2" spans="1:11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  <c r="H2" s="31" t="s">
        <v>103</v>
      </c>
      <c r="I2" s="105" t="s">
        <v>104</v>
      </c>
      <c r="J2" s="105" t="s">
        <v>105</v>
      </c>
      <c r="K2" s="105" t="s">
        <v>106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9" t="s">
        <v>16</v>
      </c>
      <c r="K5" s="99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9" t="s">
        <v>16</v>
      </c>
      <c r="K6" s="99" t="s">
        <v>16</v>
      </c>
    </row>
    <row r="7" spans="1:11" ht="15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  <c r="H7" s="99" t="s">
        <v>16</v>
      </c>
      <c r="I7" s="99" t="s">
        <v>16</v>
      </c>
      <c r="J7" s="99" t="s">
        <v>16</v>
      </c>
      <c r="K7" s="99" t="s">
        <v>16</v>
      </c>
    </row>
    <row r="8" spans="1:11" ht="15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  <c r="H8" s="43">
        <v>0.1</v>
      </c>
      <c r="I8" s="43">
        <v>0.1</v>
      </c>
      <c r="J8" s="43">
        <v>0.1</v>
      </c>
      <c r="K8" s="43">
        <v>0.1</v>
      </c>
    </row>
    <row r="9" spans="1:11" ht="15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  <c r="H12" s="8">
        <v>128</v>
      </c>
      <c r="I12" s="8">
        <v>128</v>
      </c>
      <c r="J12" s="8">
        <v>128</v>
      </c>
      <c r="K12" s="8">
        <v>128</v>
      </c>
    </row>
    <row r="13" spans="1:11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</row>
    <row r="15" spans="1:11" ht="15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</row>
    <row r="16" spans="1:11" ht="15">
      <c r="A16" s="7" t="s">
        <v>33</v>
      </c>
      <c r="B16" s="15">
        <f t="shared" ref="B16:K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  <c r="H16" s="8">
        <f t="shared" si="0"/>
        <v>23</v>
      </c>
      <c r="I16" s="8">
        <f t="shared" si="0"/>
        <v>23</v>
      </c>
      <c r="J16" s="8">
        <f t="shared" si="0"/>
        <v>23</v>
      </c>
      <c r="K16" s="8">
        <f t="shared" si="0"/>
        <v>23</v>
      </c>
    </row>
    <row r="17" spans="1:11" ht="30">
      <c r="A17" s="7" t="s">
        <v>35</v>
      </c>
      <c r="B17" s="15">
        <f t="shared" ref="B17:K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  <c r="H17" s="8">
        <f t="shared" si="1"/>
        <v>17.593924877592308</v>
      </c>
      <c r="I17" s="8">
        <f t="shared" si="1"/>
        <v>17.593924877592308</v>
      </c>
      <c r="J17" s="8">
        <f t="shared" si="1"/>
        <v>17.593924877592308</v>
      </c>
      <c r="K17" s="8">
        <f t="shared" si="1"/>
        <v>17.593924877592308</v>
      </c>
    </row>
    <row r="18" spans="1:11" ht="45">
      <c r="A18" s="16" t="s">
        <v>37</v>
      </c>
      <c r="B18" s="15">
        <f t="shared" ref="B18:K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  <c r="H18" s="8">
        <f t="shared" si="2"/>
        <v>26.061799739838872</v>
      </c>
      <c r="I18" s="8">
        <f t="shared" si="2"/>
        <v>26.061799739838872</v>
      </c>
      <c r="J18" s="8">
        <f t="shared" si="2"/>
        <v>26.061799739838872</v>
      </c>
      <c r="K18" s="8">
        <f t="shared" si="2"/>
        <v>26.061799739838872</v>
      </c>
    </row>
    <row r="19" spans="1:11" ht="15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8">
        <v>8</v>
      </c>
    </row>
    <row r="20" spans="1:11" ht="45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  <c r="H20" s="86">
        <v>0</v>
      </c>
      <c r="I20" s="86">
        <v>0</v>
      </c>
      <c r="J20" s="86">
        <v>0</v>
      </c>
      <c r="K20" s="86">
        <v>0</v>
      </c>
    </row>
    <row r="21" spans="1:11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</row>
    <row r="22" spans="1:11" ht="15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</row>
    <row r="25" spans="1:11" ht="15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  <c r="H25" s="99" t="s">
        <v>16</v>
      </c>
      <c r="I25" s="99" t="s">
        <v>16</v>
      </c>
      <c r="J25" s="99" t="s">
        <v>16</v>
      </c>
      <c r="K25" s="99" t="s">
        <v>16</v>
      </c>
    </row>
    <row r="26" spans="1:11" ht="15">
      <c r="A26" s="7" t="s">
        <v>51</v>
      </c>
      <c r="B26" s="15">
        <f t="shared" ref="B26:K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  <c r="H26" s="8">
        <f t="shared" si="3"/>
        <v>40.655724617431176</v>
      </c>
      <c r="I26" s="8">
        <f t="shared" si="3"/>
        <v>40.655724617431176</v>
      </c>
      <c r="J26" s="8">
        <f t="shared" si="3"/>
        <v>40.655724617431176</v>
      </c>
      <c r="K26" s="8">
        <f t="shared" si="3"/>
        <v>40.655724617431176</v>
      </c>
    </row>
    <row r="27" spans="1:11">
      <c r="A27" s="4" t="s">
        <v>52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5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  <c r="H28" s="8">
        <v>8</v>
      </c>
      <c r="I28" s="8">
        <v>4</v>
      </c>
      <c r="J28" s="8">
        <v>8</v>
      </c>
      <c r="K28" s="8">
        <v>4</v>
      </c>
    </row>
    <row r="29" spans="1:11" ht="15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  <c r="H29" s="8">
        <v>2</v>
      </c>
      <c r="I29" s="8">
        <v>1</v>
      </c>
      <c r="J29" s="8">
        <v>2</v>
      </c>
      <c r="K29" s="8">
        <v>1</v>
      </c>
    </row>
    <row r="30" spans="1:11" ht="45">
      <c r="A30" s="7" t="s">
        <v>55</v>
      </c>
      <c r="B30" s="15">
        <f t="shared" ref="B30:K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  <c r="H30" s="8">
        <f t="shared" si="4"/>
        <v>11.020599913279625</v>
      </c>
      <c r="I30" s="8">
        <f t="shared" si="4"/>
        <v>11.020599913279625</v>
      </c>
      <c r="J30" s="8">
        <f t="shared" si="4"/>
        <v>11.020599913279625</v>
      </c>
      <c r="K30" s="8">
        <f t="shared" si="4"/>
        <v>11.020599913279625</v>
      </c>
    </row>
    <row r="31" spans="1:11" ht="15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  <c r="H31" s="8">
        <v>5</v>
      </c>
      <c r="I31" s="8">
        <v>5</v>
      </c>
      <c r="J31" s="8">
        <v>5</v>
      </c>
      <c r="K31" s="8">
        <v>5</v>
      </c>
    </row>
    <row r="32" spans="1:11" ht="45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spans="1:11" ht="30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</row>
    <row r="35" spans="1:11" ht="15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8">
        <v>7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</row>
    <row r="38" spans="1:11" ht="15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86">
        <v>-999</v>
      </c>
    </row>
    <row r="39" spans="1:11" ht="30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  <c r="H39" s="99" t="s">
        <v>16</v>
      </c>
      <c r="I39" s="99" t="s">
        <v>16</v>
      </c>
      <c r="J39" s="99" t="s">
        <v>16</v>
      </c>
      <c r="K39" s="99" t="s">
        <v>16</v>
      </c>
    </row>
    <row r="40" spans="1:11" ht="30">
      <c r="A40" s="7" t="s">
        <v>109</v>
      </c>
      <c r="B40" s="15">
        <f t="shared" ref="B40:K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  <c r="H40" s="8">
        <f t="shared" si="5"/>
        <v>-167.00000000000003</v>
      </c>
      <c r="I40" s="8">
        <f t="shared" si="5"/>
        <v>-167.00000000000003</v>
      </c>
      <c r="J40" s="8">
        <f t="shared" si="5"/>
        <v>-167.00000000000003</v>
      </c>
      <c r="K40" s="8">
        <f t="shared" si="5"/>
        <v>-167.00000000000003</v>
      </c>
    </row>
    <row r="41" spans="1:11" ht="15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</row>
    <row r="42" spans="1:11" ht="15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  <c r="H42" s="88">
        <f>20*12*120*1000</f>
        <v>28800000</v>
      </c>
      <c r="I42" s="88">
        <f>20*12*120*1000</f>
        <v>28800000</v>
      </c>
      <c r="J42" s="88">
        <f>20*12*120*1000</f>
        <v>28800000</v>
      </c>
      <c r="K42" s="88">
        <f>20*12*120*1000</f>
        <v>28800000</v>
      </c>
    </row>
    <row r="43" spans="1:11" ht="15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8" t="s">
        <v>16</v>
      </c>
      <c r="I43" s="8" t="s">
        <v>16</v>
      </c>
      <c r="J43" s="8" t="s">
        <v>16</v>
      </c>
      <c r="K43" s="8" t="s">
        <v>16</v>
      </c>
    </row>
    <row r="44" spans="1:11" ht="15">
      <c r="A44" s="7" t="s">
        <v>72</v>
      </c>
      <c r="B44" s="15">
        <f t="shared" ref="B44:K44" si="7">B40+10*LOG10(B42)</f>
        <v>-85.981848314185626</v>
      </c>
      <c r="C44" s="15">
        <f t="shared" si="7"/>
        <v>-85.981848314185626</v>
      </c>
      <c r="D44" s="8">
        <f t="shared" si="7"/>
        <v>-89.395775165767915</v>
      </c>
      <c r="E44" s="8">
        <f t="shared" si="7"/>
        <v>-89.395775165767915</v>
      </c>
      <c r="F44" s="8">
        <f t="shared" si="7"/>
        <v>-89.395775165767915</v>
      </c>
      <c r="G44" s="8">
        <f t="shared" si="7"/>
        <v>-89.395775165767915</v>
      </c>
      <c r="H44" s="8">
        <f t="shared" si="7"/>
        <v>-92.406075122407728</v>
      </c>
      <c r="I44" s="8">
        <f t="shared" si="7"/>
        <v>-92.406075122407728</v>
      </c>
      <c r="J44" s="8">
        <f t="shared" si="7"/>
        <v>-92.406075122407728</v>
      </c>
      <c r="K44" s="8">
        <f t="shared" si="7"/>
        <v>-92.406075122407728</v>
      </c>
    </row>
    <row r="45" spans="1:11" ht="15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8" t="s">
        <v>16</v>
      </c>
      <c r="I45" s="8" t="s">
        <v>16</v>
      </c>
      <c r="J45" s="8" t="s">
        <v>16</v>
      </c>
      <c r="K45" s="8" t="s">
        <v>16</v>
      </c>
    </row>
    <row r="46" spans="1:11" ht="15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  <c r="H46" s="88">
        <v>-11.89</v>
      </c>
      <c r="I46" s="88">
        <v>-8.57</v>
      </c>
      <c r="J46" s="88">
        <v>-11.81</v>
      </c>
      <c r="K46" s="88">
        <v>-8.83</v>
      </c>
    </row>
    <row r="47" spans="1:11" ht="15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8" t="s">
        <v>16</v>
      </c>
      <c r="I48" s="8" t="s">
        <v>16</v>
      </c>
      <c r="J48" s="8" t="s">
        <v>16</v>
      </c>
      <c r="K48" s="8" t="s">
        <v>16</v>
      </c>
    </row>
    <row r="49" spans="1:1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30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  <c r="H50" s="99" t="s">
        <v>16</v>
      </c>
      <c r="I50" s="99" t="s">
        <v>16</v>
      </c>
      <c r="J50" s="99" t="s">
        <v>16</v>
      </c>
      <c r="K50" s="99" t="s">
        <v>16</v>
      </c>
    </row>
    <row r="51" spans="1:11" ht="30">
      <c r="A51" s="7" t="s">
        <v>82</v>
      </c>
      <c r="B51" s="15">
        <f t="shared" ref="B51:K51" si="8">B44+B46+B47-B49</f>
        <v>-94.581848314185621</v>
      </c>
      <c r="C51" s="15">
        <f t="shared" si="8"/>
        <v>-89.091848314185626</v>
      </c>
      <c r="D51" s="8">
        <f t="shared" si="8"/>
        <v>-95.595775165767918</v>
      </c>
      <c r="E51" s="8">
        <f t="shared" si="8"/>
        <v>-91.895775165767915</v>
      </c>
      <c r="F51" s="8">
        <f t="shared" si="8"/>
        <v>-95.595775165767918</v>
      </c>
      <c r="G51" s="8">
        <f t="shared" si="8"/>
        <v>-91.895775165767915</v>
      </c>
      <c r="H51" s="8">
        <f t="shared" si="8"/>
        <v>-102.29607512240773</v>
      </c>
      <c r="I51" s="8">
        <f t="shared" si="8"/>
        <v>-98.976075122407735</v>
      </c>
      <c r="J51" s="8">
        <f t="shared" si="8"/>
        <v>-102.21607512240773</v>
      </c>
      <c r="K51" s="8">
        <f t="shared" si="8"/>
        <v>-99.236075122407726</v>
      </c>
    </row>
    <row r="52" spans="1:11" ht="30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  <c r="H52" s="100" t="s">
        <v>16</v>
      </c>
      <c r="I52" s="100" t="s">
        <v>16</v>
      </c>
      <c r="J52" s="100" t="s">
        <v>16</v>
      </c>
      <c r="K52" s="100" t="s">
        <v>16</v>
      </c>
    </row>
    <row r="53" spans="1:11" ht="30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K53" si="9">D26+D30+D33-D34-D51</f>
        <v>134.28239965311855</v>
      </c>
      <c r="E53" s="39">
        <f>E26+E30+E33-E34-E51</f>
        <v>130.58239965311853</v>
      </c>
      <c r="F53" s="39">
        <f t="shared" si="9"/>
        <v>134.28239965311855</v>
      </c>
      <c r="G53" s="39">
        <f t="shared" si="9"/>
        <v>130.58239965311853</v>
      </c>
      <c r="H53" s="39">
        <f t="shared" si="9"/>
        <v>152.97239965311854</v>
      </c>
      <c r="I53" s="39">
        <f>I26+I30+I33-I34-I51</f>
        <v>149.65239965311855</v>
      </c>
      <c r="J53" s="39">
        <f t="shared" si="9"/>
        <v>152.89239965311853</v>
      </c>
      <c r="K53" s="39">
        <f t="shared" si="9"/>
        <v>149.91239965311854</v>
      </c>
    </row>
    <row r="54" spans="1:11">
      <c r="A54" s="4" t="s">
        <v>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</row>
    <row r="56" spans="1:11" ht="30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  <c r="H56" s="99" t="s">
        <v>16</v>
      </c>
      <c r="I56" s="99" t="s">
        <v>16</v>
      </c>
      <c r="J56" s="99" t="s">
        <v>16</v>
      </c>
      <c r="K56" s="99" t="s">
        <v>16</v>
      </c>
    </row>
    <row r="57" spans="1:11" ht="30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</row>
    <row r="58" spans="1:11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  <c r="H61" s="100" t="s">
        <v>16</v>
      </c>
      <c r="I61" s="100" t="s">
        <v>16</v>
      </c>
      <c r="J61" s="100" t="s">
        <v>16</v>
      </c>
      <c r="K61" s="100" t="s">
        <v>16</v>
      </c>
    </row>
    <row r="62" spans="1:11" ht="30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K62" si="10">D53-D57+D58-D59+D60</f>
        <v>134.28239965311855</v>
      </c>
      <c r="E62" s="39">
        <f>E53-E57+E58-E59+E60</f>
        <v>130.58239965311853</v>
      </c>
      <c r="F62" s="39">
        <f t="shared" si="10"/>
        <v>134.28239965311855</v>
      </c>
      <c r="G62" s="39">
        <f t="shared" si="10"/>
        <v>130.58239965311853</v>
      </c>
      <c r="H62" s="39">
        <f t="shared" si="10"/>
        <v>152.97239965311854</v>
      </c>
      <c r="I62" s="39">
        <f>I53-I57+I58-I59+I60</f>
        <v>149.65239965311855</v>
      </c>
      <c r="J62" s="39">
        <f t="shared" si="10"/>
        <v>152.89239965311853</v>
      </c>
      <c r="K62" s="39">
        <f t="shared" si="10"/>
        <v>149.91239965311854</v>
      </c>
    </row>
    <row r="63" spans="1:11">
      <c r="A63" s="41"/>
      <c r="B63" s="2"/>
      <c r="C63" s="2"/>
      <c r="D63" s="101"/>
      <c r="E63" s="101"/>
      <c r="F63" s="101"/>
      <c r="G63" s="101"/>
      <c r="H63" s="101"/>
      <c r="I63" s="101"/>
      <c r="J63" s="101"/>
      <c r="K63" s="101"/>
    </row>
    <row r="64" spans="1:11" ht="15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  <c r="H64" s="100" t="s">
        <v>16</v>
      </c>
      <c r="I64" s="100" t="s">
        <v>16</v>
      </c>
      <c r="J64" s="100" t="s">
        <v>16</v>
      </c>
      <c r="K64" s="100" t="s">
        <v>16</v>
      </c>
    </row>
    <row r="65" spans="1:11" ht="15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K65" si="11">D17-D23-D51+D21+D33</f>
        <v>116.20000000000005</v>
      </c>
      <c r="E65" s="39">
        <f>E17-E23-E51+E21+E33</f>
        <v>112.50000000000003</v>
      </c>
      <c r="F65" s="39">
        <f t="shared" si="11"/>
        <v>116.20000000000005</v>
      </c>
      <c r="G65" s="39">
        <f t="shared" si="11"/>
        <v>112.50000000000003</v>
      </c>
      <c r="H65" s="39">
        <f t="shared" si="11"/>
        <v>119.89000000000004</v>
      </c>
      <c r="I65" s="39">
        <f>I17-I23-I51+I21+I33</f>
        <v>116.57000000000005</v>
      </c>
      <c r="J65" s="39">
        <f t="shared" si="11"/>
        <v>119.81000000000003</v>
      </c>
      <c r="K65" s="39">
        <f t="shared" si="11"/>
        <v>116.83000000000004</v>
      </c>
    </row>
  </sheetData>
  <mergeCells count="3">
    <mergeCell ref="B1:C1"/>
    <mergeCell ref="D1:G1"/>
    <mergeCell ref="H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2" customWidth="1"/>
    <col min="7" max="7" width="17.125" style="1" customWidth="1"/>
    <col min="8" max="16384" width="9" style="1"/>
  </cols>
  <sheetData>
    <row r="1" spans="1:7" ht="14.25" customHeight="1">
      <c r="A1" s="3"/>
      <c r="B1" s="115" t="s">
        <v>125</v>
      </c>
      <c r="C1" s="115"/>
      <c r="D1" s="115" t="s">
        <v>126</v>
      </c>
      <c r="E1" s="115"/>
      <c r="F1" s="115" t="s">
        <v>128</v>
      </c>
      <c r="G1" s="115"/>
    </row>
    <row r="2" spans="1: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</row>
    <row r="3" spans="1: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</row>
    <row r="4" spans="1: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 ht="15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</row>
    <row r="6" spans="1:7" ht="15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</row>
    <row r="7" spans="1:7" ht="30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</row>
    <row r="8" spans="1:7" ht="15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</row>
    <row r="9" spans="1:7" ht="15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</row>
    <row r="10" spans="1:7" ht="15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</row>
    <row r="11" spans="1:7">
      <c r="A11" s="4" t="s">
        <v>25</v>
      </c>
      <c r="B11" s="14"/>
      <c r="C11" s="14"/>
      <c r="D11" s="14"/>
      <c r="E11" s="14"/>
      <c r="F11" s="14"/>
      <c r="G11" s="14"/>
    </row>
    <row r="12" spans="1: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</row>
    <row r="13" spans="1:7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</row>
    <row r="14" spans="1:7" ht="15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</row>
    <row r="15" spans="1:7" ht="15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</row>
    <row r="16" spans="1:7" ht="15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</row>
    <row r="17" spans="1:7" ht="30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</row>
    <row r="18" spans="1:7" ht="45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</row>
    <row r="19" spans="1:7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</row>
    <row r="20" spans="1:7" ht="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</row>
    <row r="21" spans="1:7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</row>
    <row r="22" spans="1:7" ht="15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</row>
    <row r="23" spans="1:7" ht="15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</row>
    <row r="24" spans="1:7" ht="30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</row>
    <row r="25" spans="1:7" ht="15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</row>
    <row r="26" spans="1:7" ht="15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</row>
    <row r="27" spans="1:7">
      <c r="A27" s="4" t="s">
        <v>52</v>
      </c>
      <c r="B27" s="14"/>
      <c r="C27" s="14"/>
      <c r="D27" s="19"/>
      <c r="E27" s="19"/>
      <c r="F27" s="14"/>
      <c r="G27" s="14"/>
    </row>
    <row r="28" spans="1:7" ht="15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</row>
    <row r="29" spans="1:7" ht="15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</row>
    <row r="30" spans="1:7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</row>
    <row r="31" spans="1:7" ht="15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</row>
    <row r="32" spans="1:7" ht="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</row>
    <row r="33" spans="1:7" ht="28.5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</row>
    <row r="34" spans="1:7" ht="30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</row>
    <row r="35" spans="1:7" ht="15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</row>
    <row r="36" spans="1:7" ht="15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</row>
    <row r="37" spans="1:7" ht="15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</row>
    <row r="38" spans="1:7" ht="15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</row>
    <row r="39" spans="1:7" ht="30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</row>
    <row r="40" spans="1:7" ht="30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</row>
    <row r="41" spans="1:7" ht="15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>139*120*1000</f>
        <v>16680000</v>
      </c>
      <c r="G41" s="86">
        <f>139*120*1000</f>
        <v>16680000</v>
      </c>
    </row>
    <row r="42" spans="1:7" ht="15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</row>
    <row r="43" spans="1:7" ht="15">
      <c r="A43" s="7" t="s">
        <v>71</v>
      </c>
      <c r="B43" s="15">
        <f t="shared" ref="B43:G43" si="5">B39+10*LOG10(B41)</f>
        <v>-94.125301789939911</v>
      </c>
      <c r="C43" s="15">
        <f t="shared" si="5"/>
        <v>-94.125301789939911</v>
      </c>
      <c r="D43" s="18">
        <f t="shared" si="5"/>
        <v>-103.41258560444506</v>
      </c>
      <c r="E43" s="18">
        <f t="shared" si="5"/>
        <v>-103.41258560444506</v>
      </c>
      <c r="F43" s="8">
        <f t="shared" si="5"/>
        <v>-96.778039536982831</v>
      </c>
      <c r="G43" s="8">
        <f t="shared" si="5"/>
        <v>-96.778039536982831</v>
      </c>
    </row>
    <row r="44" spans="1:7" ht="15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</row>
    <row r="45" spans="1:7" ht="15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</row>
    <row r="46" spans="1:7" ht="15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</row>
    <row r="47" spans="1:7" ht="15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</row>
    <row r="48" spans="1:7" ht="30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</row>
    <row r="50" spans="1:7" ht="30">
      <c r="A50" s="7" t="s">
        <v>80</v>
      </c>
      <c r="B50" s="15">
        <f t="shared" ref="B50:G50" si="6">B43+B45+B47-B48</f>
        <v>-102.47530178993991</v>
      </c>
      <c r="C50" s="15">
        <f t="shared" si="6"/>
        <v>-102.47530178993991</v>
      </c>
      <c r="D50" s="18">
        <f t="shared" si="6"/>
        <v>-101.41258560444506</v>
      </c>
      <c r="E50" s="18">
        <f t="shared" si="6"/>
        <v>-101.41258560444506</v>
      </c>
      <c r="F50" s="8">
        <f t="shared" si="6"/>
        <v>-106.97803953698283</v>
      </c>
      <c r="G50" s="8">
        <f t="shared" si="6"/>
        <v>-106.97803953698283</v>
      </c>
    </row>
    <row r="51" spans="1:7" ht="30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</row>
    <row r="52" spans="1:7" ht="30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G52" si="7">D25+D30+D33-D34-D50</f>
        <v>157.49498525756354</v>
      </c>
      <c r="E52" s="27">
        <f t="shared" si="7"/>
        <v>157.49498525756354</v>
      </c>
      <c r="F52" s="39">
        <f t="shared" si="7"/>
        <v>149.06043919010133</v>
      </c>
      <c r="G52" s="39">
        <f t="shared" si="7"/>
        <v>149.06043919010133</v>
      </c>
    </row>
    <row r="53" spans="1:7" ht="30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</row>
    <row r="54" spans="1:7">
      <c r="A54" s="4" t="s">
        <v>86</v>
      </c>
      <c r="B54" s="14"/>
      <c r="C54" s="14"/>
      <c r="D54" s="19"/>
      <c r="E54" s="19"/>
      <c r="F54" s="14"/>
      <c r="G54" s="14"/>
    </row>
    <row r="55" spans="1:7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</row>
    <row r="56" spans="1:7" ht="30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</row>
    <row r="57" spans="1:7" ht="30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</row>
    <row r="58" spans="1:7" ht="15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</row>
    <row r="59" spans="1:7" ht="15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</row>
    <row r="60" spans="1:7" ht="15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</row>
    <row r="61" spans="1:7" ht="30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G61" si="8">D52-D56+D58-D59+D60</f>
        <v>152.31498525756354</v>
      </c>
      <c r="E61" s="27">
        <f t="shared" si="8"/>
        <v>152.31498525756354</v>
      </c>
      <c r="F61" s="39">
        <f t="shared" si="8"/>
        <v>149.06043919010133</v>
      </c>
      <c r="G61" s="39">
        <f t="shared" si="8"/>
        <v>149.06043919010133</v>
      </c>
    </row>
    <row r="62" spans="1:7" ht="30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</row>
    <row r="63" spans="1:7">
      <c r="B63" s="42"/>
      <c r="C63" s="42"/>
      <c r="E63" s="2"/>
      <c r="F63" s="101"/>
      <c r="G63" s="101"/>
    </row>
    <row r="64" spans="1:7" ht="15">
      <c r="A64" s="26" t="s">
        <v>97</v>
      </c>
      <c r="B64" s="27">
        <f t="shared" ref="B64:G64" si="9">B17+B22-B50+B21+B33</f>
        <v>114.47530178993991</v>
      </c>
      <c r="C64" s="27">
        <f t="shared" si="9"/>
        <v>114.47530178993991</v>
      </c>
      <c r="D64" s="27">
        <f t="shared" si="9"/>
        <v>124.41258560444506</v>
      </c>
      <c r="E64" s="27">
        <f t="shared" si="9"/>
        <v>124.41258560444506</v>
      </c>
      <c r="F64" s="39">
        <f t="shared" si="9"/>
        <v>129.97803953698283</v>
      </c>
      <c r="G64" s="39">
        <f t="shared" si="9"/>
        <v>129.97803953698283</v>
      </c>
    </row>
    <row r="65" spans="1:7" ht="15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</row>
  </sheetData>
  <mergeCells count="3">
    <mergeCell ref="B1:C1"/>
    <mergeCell ref="D1:E1"/>
    <mergeCell ref="F1:G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microsoft.com/office/2006/metadata/properties"/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2006-01-19T03:50:00Z</cp:lastPrinted>
  <dcterms:created xsi:type="dcterms:W3CDTF">2003-11-11T03:59:00Z</dcterms:created>
  <dcterms:modified xsi:type="dcterms:W3CDTF">2020-10-22T02:03:39Z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